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<sst xmlns="http://schemas.openxmlformats.org/spreadsheetml/2006/main" count="454" uniqueCount="443">
  <si>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</si>
  <si>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имущества городских округов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</si>
  <si>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</si>
  <si>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</si>
  <si>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</si>
  <si>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</si>
  <si>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</si>
  <si>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городских округов на выравнивание бюджетной обеспеченнности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</si>
  <si>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</si>
  <si>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доходы от компенсации затрат бюджетов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</si>
  <si>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</si>
  <si>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</si>
  <si>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</si>
  <si>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</si>
  <si>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000 1 13 00000 00 0000 000</t>
  </si>
  <si>
    <t>Доходы от компенсации затрат государства</t>
  </si>
  <si>
    <t>000 1 13 02000 00 0000 130</t>
  </si>
  <si>
    <t>000 1 13 02994 04 0000 130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</si>
  <si>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</si>
  <si>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</si>
  <si>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</si>
  <si>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</si>
  <si>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</si>
  <si>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</si>
  <si>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</si>
  <si>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</si>
  <si>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</si>
  <si>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</si>
  <si>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</si>
  <si>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</si>
  <si>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</si>
  <si>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</si>
  <si>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</si>
  <si>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</si>
  <si>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</si>
  <si>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</si>
  <si>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</si>
  <si>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</si>
  <si>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</si>
  <si>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</si>
  <si>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</si>
  <si>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</si>
  <si>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</si>
  <si>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</si>
  <si>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</si>
  <si>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</si>
  <si>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</si>
  <si>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</si>
  <si>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</si>
  <si>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</si>
  <si>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</si>
  <si>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</si>
  <si>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</si>
  <si>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</si>
  <si>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</si>
  <si>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</si>
  <si>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</si>
  <si>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</si>
  <si>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</si>
  <si>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</si>
  <si>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</si>
  <si>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</si>
  <si>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</si>
  <si>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</si>
  <si>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</si>
  <si>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</si>
  <si>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</si>
  <si>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</si>
  <si>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</si>
  <si>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</si>
  <si>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</si>
  <si>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</si>
  <si>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</si>
  <si>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</si>
  <si>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</si>
  <si>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</si>
  <si>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</si>
  <si>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</si>
  <si>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</si>
  <si>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</si>
  <si>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</si>
  <si>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</si>
  <si>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</si>
  <si>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</si>
  <si>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</si>
  <si>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</si>
  <si>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</si>
  <si>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</si>
  <si>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</si>
  <si>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</si>
  <si>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</si>
  <si>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</si>
  <si>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</si>
  <si>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</si>
  <si>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</si>
  <si>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</si>
  <si>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</si>
  <si>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</si>
  <si>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</si>
  <si>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</si>
  <si>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</si>
  <si>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</si>
  <si>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</si>
  <si>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</si>
  <si>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</si>
  <si>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</si>
  <si>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</si>
  <si>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</si>
  <si>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</si>
  <si>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</si>
  <si>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</si>
  <si>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</si>
  <si>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</si>
  <si>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</si>
  <si>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</si>
  <si>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</si>
  <si>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</si>
  <si>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Дотации бюджетам на поддержку мер по обеспечению сбалансированности бюджетов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</si>
  <si>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</si>
  <si>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</si>
  <si>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</si>
  <si>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</si>
  <si>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</si>
  <si>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</si>
  <si>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</si>
  <si>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</si>
  <si>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</si>
  <si>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ИТОГО ДОХОДОВ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</si>
  <si>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</si>
  <si>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</si>
  <si>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</si>
  <si>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</si>
  <si>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</si>
  <si>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</si>
  <si>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</si>
  <si>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</si>
  <si>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</si>
  <si>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</si>
  <si>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</si>
  <si>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</si>
  <si>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</si>
  <si>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</si>
  <si>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</si>
  <si>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000 1 12 01041 01 0000 120</t>
  </si>
  <si>
    <t>Плата за размещение отходов производства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</si>
  <si>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</si>
  <si>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</si>
  <si>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</si>
  <si>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/>
  </si>
  <si>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</si>
  <si>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</si>
  <si>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</si>
  <si>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</si>
  <si>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</si>
  <si>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</si>
  <si>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</si>
  <si>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</si>
  <si>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</si>
  <si>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</si>
  <si>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</si>
  <si>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</si>
  <si>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</si>
  <si>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</si>
  <si>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</si>
  <si>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</si>
  <si>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</si>
  <si>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</si>
  <si>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>0304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</si>
  <si>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</si>
  <si>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</si>
  <si>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</si>
  <si>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</si>
  <si>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</si>
  <si>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</si>
  <si>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</si>
  <si>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</si>
  <si>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</si>
  <si>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</si>
  <si>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</si>
  <si>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</si>
  <si>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</si>
  <si>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</si>
  <si>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</si>
  <si>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</si>
  <si>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</si>
  <si>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</si>
  <si>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</si>
  <si>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</si>
  <si>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</si>
  <si>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</si>
  <si>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</si>
  <si>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</si>
  <si>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</si>
  <si>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</si>
  <si>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</si>
  <si>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</si>
  <si>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</si>
  <si>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</si>
  <si>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</si>
  <si>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</si>
  <si>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</si>
  <si>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</si>
  <si>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</si>
  <si>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</si>
  <si>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</si>
  <si>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</si>
  <si>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</si>
  <si>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</si>
  <si>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</si>
  <si>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</si>
  <si>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</si>
  <si>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</si>
  <si>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</si>
  <si>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</si>
  <si>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</si>
  <si>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</si>
  <si>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</si>
  <si>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</si>
  <si>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</si>
  <si>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</si>
  <si>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</si>
  <si>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</si>
  <si>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</si>
  <si>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</si>
  <si>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</si>
  <si>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</si>
  <si>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</si>
  <si>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</si>
  <si>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</si>
  <si>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>ВСЕГО</t>
  </si>
  <si>
    <t>Судебная система</t>
  </si>
  <si>
    <t>0105</t>
  </si>
  <si>
    <t>Плата за размещение твердых коммунальных отходов</t>
  </si>
  <si>
    <t>000 2 02 20000 00 0000 150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</si>
  <si>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</si>
  <si>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</si>
  <si>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000 2 02 29999 00 0000 150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</si>
  <si>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</si>
  <si>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</si>
  <si>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</si>
  <si>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000 2 02 30027 00 0000 150</t>
  </si>
  <si>
    <t>000 2 02 30027 04 0000 150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</si>
  <si>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</si>
  <si>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</si>
  <si>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</si>
  <si>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</si>
  <si>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</si>
  <si>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</si>
  <si>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</si>
  <si>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</si>
  <si>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</si>
  <si>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    Другие вопросы в области социальной политики</t>
  </si>
  <si>
    <t>1006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</si>
  <si>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</si>
  <si>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</si>
  <si>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</si>
  <si>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000 1 12 01042 01 0000 120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</si>
  <si>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</si>
  <si>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</si>
  <si>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</si>
  <si>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</si>
  <si>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</si>
  <si>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</si>
  <si>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</si>
  <si>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</si>
  <si>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</si>
  <si>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</si>
  <si>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</si>
  <si>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</si>
  <si>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</si>
  <si>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</si>
  <si>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</si>
  <si>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</si>
  <si>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</si>
  <si>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</si>
  <si>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</si>
  <si>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</si>
  <si>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</si>
  <si>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</si>
  <si>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</si>
  <si>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000 2 02 20077 00 0000 150</t>
  </si>
  <si>
    <t>000 2 02 20077 04 0000 150</t>
  </si>
  <si>
    <t>000 2 02 20216 00 0000 150</t>
  </si>
  <si>
    <t>000 2 02 20216 04 0000 150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</si>
  <si>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</si>
  <si>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</si>
  <si>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</si>
  <si>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</si>
  <si>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</si>
  <si>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</si>
  <si>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</si>
  <si>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</si>
  <si>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</si>
  <si>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</si>
  <si>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</si>
  <si>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</si>
  <si>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</si>
  <si>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</si>
  <si>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</si>
  <si>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</si>
  <si>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</si>
  <si>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</si>
  <si>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</si>
  <si>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</si>
  <si>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</si>
  <si>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</si>
  <si>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</si>
  <si>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</si>
  <si>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</si>
  <si>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</si>
  <si>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</si>
  <si>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</si>
  <si>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</si>
  <si>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</si>
  <si>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</si>
  <si>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</si>
  <si>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000 1 16 01140 01 0000 140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</si>
  <si>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</si>
  <si>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</si>
  <si>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</si>
  <si>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</si>
  <si>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</si>
  <si>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</si>
  <si>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</si>
  <si>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</si>
  <si>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</si>
  <si>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</si>
  <si>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</si>
  <si>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</si>
  <si>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</si>
  <si>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</si>
  <si>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</si>
  <si>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000 1 16 01190 01 0000 140</t>
  </si>
  <si>
    <t>000 1 16 01193 01 0000 140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</si>
  <si>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</si>
  <si>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</si>
  <si>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</si>
  <si>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</si>
  <si>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000 1 16 07010 00 0000 140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</si>
  <si>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</si>
  <si>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</si>
  <si>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</si>
  <si>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</si>
  <si>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</si>
  <si>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</si>
  <si>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</si>
  <si>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Профессиональная подготовка, переподготовка и повышение квалификации</t>
  </si>
  <si>
    <t>0705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</si>
  <si>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</si>
  <si>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</si>
  <si>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</si>
  <si>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</si>
  <si>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Кодексом Российской Федерации об административных правонарушениях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</si>
  <si>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</si>
  <si>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</si>
  <si>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</si>
  <si>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</si>
  <si>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</si>
  <si>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</si>
  <si>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инфраструктуры</t>
  </si>
  <si>
    <t>Межбюджетный трансферт, передаваемый бюджетам городких округов на реализацию проектов развития социальной и инженерной инфраструктуры</t>
  </si>
  <si>
    <t>000 1 01 02080 01 0000 110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</si>
  <si>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</si>
  <si>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</si>
  <si>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</si>
  <si>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</si>
  <si>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</si>
  <si>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</si>
  <si>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</si>
  <si>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</si>
  <si>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</si>
  <si>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</si>
  <si>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3</t>
  </si>
  <si>
    <t>Таблица 1</t>
  </si>
  <si>
    <t>Таблица 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</si>
  <si>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</si>
  <si>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</si>
  <si>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</si>
  <si>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</si>
  <si>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000 1 03 02231 01 0000 110</t>
  </si>
  <si>
    <t>000 1 03 02241 01 0000 110</t>
  </si>
  <si>
    <t>000 1 03 02251 01 0000 110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</si>
  <si>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</si>
  <si>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</si>
  <si>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</si>
  <si>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</si>
  <si>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</si>
  <si>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</si>
  <si>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</si>
  <si>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</si>
  <si>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</si>
  <si>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</si>
  <si>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</si>
  <si>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</si>
  <si>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</si>
  <si>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</si>
  <si>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</si>
  <si>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000 2 02 10000 00 0000 150</t>
  </si>
  <si>
    <t>Дотации бюджетам бюджетной системы Российской Федерации</t>
  </si>
  <si>
    <t>000 2 02 15001 00 0000 150</t>
  </si>
  <si>
    <t>000 2 02 15001 04 0000 150</t>
  </si>
  <si>
    <t>000 2 02 15002 00 0000 150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</si>
  <si>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</si>
  <si>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</si>
  <si>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000 2 02 15010 00 0000 150</t>
  </si>
  <si>
    <t>000 2 02 15010 04 0000 150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</si>
  <si>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</si>
  <si>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</si>
  <si>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</si>
  <si>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</si>
  <si>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</si>
  <si>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</si>
  <si>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</si>
  <si>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</si>
  <si>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</si>
  <si>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</si>
  <si>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</si>
  <si>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</si>
  <si>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</si>
  <si>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</si>
  <si>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</si>
  <si>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</si>
  <si>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</si>
  <si>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</si>
  <si>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</si>
  <si>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</si>
  <si>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Утверждено РСД № 38 от 13.04.2022</t>
  </si>
  <si>
    <t>Утверждено РСД № 92 от 10.12.2021</t>
  </si>
  <si>
    <t>Утверждено РСД № 114 от 20.12.2022</t>
  </si>
  <si>
    <t>Сведения об изменениях, внесенных в течение 2022 года  в доходную часть решения о бюджете</t>
  </si>
  <si>
    <t>Сведения об изменениях, внесенных в течение 2022 года  в расходную часть решения о бюджете</t>
  </si>
  <si>
    <t>4 = 5-3</t>
  </si>
  <si>
    <t>6 = 7-3</t>
  </si>
  <si>
    <t>Изменение_1</t>
  </si>
  <si>
    <t>Изменение_2</t>
  </si>
  <si>
    <t>0200</t>
  </si>
  <si>
    <t xml:space="preserve"> НАЦИОНАЛЬНАЯ ОБОРОНА</t>
  </si>
  <si>
    <t xml:space="preserve"> Мобилизационная и вневойсковая подготовка</t>
  </si>
  <si>
    <t>0203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</si>
  <si>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</si>
  <si>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</si>
  <si>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>0600</t>
  </si>
  <si>
    <t>0603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</si>
</sst>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1"/>
      <name val="Calibri"/>
      <family val="2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 Cyr"/>
      <family val="0"/>
    </font>
    <font>
      <i/>
      <sz val="11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40" fillId="0" borderId="1">
      <alignment vertical="top" wrapText="1"/>
      <protection/>
    </xf>
    <xf numFmtId="49" fontId="41" fillId="0" borderId="1">
      <alignment horizontal="center" vertical="top" shrinkToFit="1"/>
      <protection/>
    </xf>
    <xf numFmtId="4" fontId="40" fillId="16" borderId="1">
      <alignment horizontal="right" vertical="top" shrinkToFit="1"/>
      <protection/>
    </xf>
    <xf numFmtId="4" fontId="40" fillId="17" borderId="1">
      <alignment horizontal="right" vertical="top" shrinkToFit="1"/>
      <protection/>
    </xf>
    <xf numFmtId="4" fontId="39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26" borderId="0" xfId="0" applyFont="1" applyFill="1" applyAlignment="1">
      <alignment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right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wrapText="1"/>
    </xf>
    <xf numFmtId="0" fontId="43" fillId="0" borderId="1" xfId="35" applyNumberFormat="1" applyFont="1" applyFill="1" applyAlignment="1" applyProtection="1">
      <alignment horizontal="right" vertical="top" wrapText="1"/>
      <protection/>
    </xf>
    <xf numFmtId="49" fontId="43" fillId="0" borderId="1" xfId="36" applyNumberFormat="1" applyFont="1" applyFill="1" applyProtection="1">
      <alignment horizontal="center" vertical="top" shrinkToFit="1"/>
      <protection/>
    </xf>
    <xf numFmtId="0" fontId="43" fillId="0" borderId="0" xfId="0" applyFont="1" applyFill="1" applyAlignment="1">
      <alignment vertical="top" wrapText="1"/>
    </xf>
    <xf numFmtId="0" fontId="42" fillId="0" borderId="1" xfId="35" applyNumberFormat="1" applyFont="1" applyFill="1" applyAlignment="1" applyProtection="1">
      <alignment horizontal="right" vertical="top" wrapText="1"/>
      <protection/>
    </xf>
    <xf numFmtId="49" fontId="42" fillId="0" borderId="1" xfId="36" applyNumberFormat="1" applyFont="1" applyFill="1" applyProtection="1">
      <alignment horizontal="center" vertical="top" shrinkToFit="1"/>
      <protection/>
    </xf>
    <xf numFmtId="0" fontId="21" fillId="0" borderId="0" xfId="0" applyFont="1" applyFill="1" applyAlignment="1">
      <alignment vertical="top" wrapText="1"/>
    </xf>
    <xf numFmtId="0" fontId="42" fillId="0" borderId="12" xfId="35" applyNumberFormat="1" applyFont="1" applyFill="1" applyBorder="1" applyAlignment="1" applyProtection="1">
      <alignment horizontal="right" vertical="top" wrapText="1"/>
      <protection/>
    </xf>
    <xf numFmtId="49" fontId="42" fillId="0" borderId="12" xfId="36" applyNumberFormat="1" applyFont="1" applyFill="1" applyBorder="1" applyProtection="1">
      <alignment horizontal="center" vertical="top" shrinkToFit="1"/>
      <protection/>
    </xf>
    <xf numFmtId="0" fontId="21" fillId="0" borderId="0" xfId="0" applyFont="1" applyFill="1" applyAlignment="1">
      <alignment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vertical="center" wrapText="1"/>
    </xf>
    <xf numFmtId="49" fontId="20" fillId="26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 wrapText="1"/>
    </xf>
    <xf numFmtId="4" fontId="22" fillId="0" borderId="1" xfId="37" applyNumberFormat="1" applyFont="1" applyFill="1" applyProtection="1">
      <alignment horizontal="right" vertical="top" shrinkToFit="1"/>
      <protection/>
    </xf>
    <xf numFmtId="4" fontId="23" fillId="0" borderId="1" xfId="37" applyNumberFormat="1" applyFont="1" applyFill="1" applyProtection="1">
      <alignment horizontal="right" vertical="top" shrinkToFit="1"/>
      <protection/>
    </xf>
    <xf numFmtId="4" fontId="23" fillId="0" borderId="12" xfId="37" applyNumberFormat="1" applyFont="1" applyFill="1" applyBorder="1" applyProtection="1">
      <alignment horizontal="right" vertical="top" shrinkToFit="1"/>
      <protection/>
    </xf>
    <xf numFmtId="0" fontId="25" fillId="26" borderId="0" xfId="0" applyFont="1" applyFill="1" applyAlignment="1">
      <alignment horizontal="center"/>
    </xf>
    <xf numFmtId="4" fontId="20" fillId="26" borderId="0" xfId="0" applyNumberFormat="1" applyFont="1" applyFill="1" applyAlignment="1">
      <alignment horizontal="center"/>
    </xf>
    <xf numFmtId="0" fontId="23" fillId="26" borderId="13" xfId="60" applyFont="1" applyFill="1" applyBorder="1" applyAlignment="1">
      <alignment horizontal="left" vertical="center" wrapText="1"/>
      <protection/>
    </xf>
    <xf numFmtId="0" fontId="20" fillId="26" borderId="13" xfId="60" applyFont="1" applyFill="1" applyBorder="1" applyAlignment="1">
      <alignment horizontal="left" vertical="center" wrapText="1"/>
      <protection/>
    </xf>
    <xf numFmtId="49" fontId="23" fillId="26" borderId="13" xfId="60" applyNumberFormat="1" applyFont="1" applyFill="1" applyBorder="1" applyAlignment="1">
      <alignment horizontal="left" vertical="center" wrapText="1"/>
      <protection/>
    </xf>
    <xf numFmtId="49" fontId="20" fillId="26" borderId="13" xfId="60" applyNumberFormat="1" applyFont="1" applyFill="1" applyBorder="1" applyAlignment="1">
      <alignment horizontal="left" vertical="center" wrapText="1"/>
      <protection/>
    </xf>
    <xf numFmtId="0" fontId="23" fillId="0" borderId="11" xfId="60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vertical="center" wrapTex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0" fillId="0" borderId="11" xfId="60" applyFont="1" applyFill="1" applyBorder="1" applyAlignment="1">
      <alignment horizontal="left" vertical="center" wrapText="1"/>
      <protection/>
    </xf>
    <xf numFmtId="4" fontId="24" fillId="26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top" wrapText="1"/>
    </xf>
    <xf numFmtId="0" fontId="23" fillId="0" borderId="11" xfId="60" applyFont="1" applyFill="1" applyBorder="1" applyAlignment="1">
      <alignment horizontal="center" vertical="center"/>
      <protection/>
    </xf>
    <xf numFmtId="0" fontId="20" fillId="0" borderId="11" xfId="60" applyFont="1" applyFill="1" applyBorder="1" applyAlignment="1">
      <alignment horizontal="center" vertical="center"/>
      <protection/>
    </xf>
    <xf numFmtId="4" fontId="27" fillId="26" borderId="0" xfId="0" applyNumberFormat="1" applyFont="1" applyFill="1" applyAlignment="1">
      <alignment horizontal="center"/>
    </xf>
    <xf numFmtId="0" fontId="27" fillId="26" borderId="0" xfId="0" applyFont="1" applyFill="1" applyAlignment="1">
      <alignment/>
    </xf>
    <xf numFmtId="0" fontId="20" fillId="0" borderId="14" xfId="60" applyFont="1" applyFill="1" applyBorder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/>
      <protection/>
    </xf>
    <xf numFmtId="0" fontId="20" fillId="0" borderId="11" xfId="60" applyFont="1" applyFill="1" applyBorder="1" applyAlignment="1">
      <alignment horizontal="center"/>
      <protection/>
    </xf>
    <xf numFmtId="0" fontId="21" fillId="0" borderId="11" xfId="60" applyFont="1" applyFill="1" applyBorder="1" applyAlignment="1">
      <alignment horizontal="center" vertical="center"/>
      <protection/>
    </xf>
    <xf numFmtId="0" fontId="21" fillId="0" borderId="11" xfId="60" applyFont="1" applyFill="1" applyBorder="1" applyAlignment="1">
      <alignment vertical="center" wrapText="1"/>
      <protection/>
    </xf>
    <xf numFmtId="0" fontId="21" fillId="26" borderId="0" xfId="0" applyFont="1" applyFill="1" applyAlignment="1">
      <alignment/>
    </xf>
    <xf numFmtId="0" fontId="22" fillId="0" borderId="11" xfId="60" applyFont="1" applyFill="1" applyBorder="1" applyAlignment="1">
      <alignment vertical="center"/>
      <protection/>
    </xf>
    <xf numFmtId="4" fontId="22" fillId="0" borderId="11" xfId="60" applyNumberFormat="1" applyFont="1" applyFill="1" applyBorder="1" applyAlignment="1">
      <alignment horizontal="right" vertical="center"/>
      <protection/>
    </xf>
    <xf numFmtId="0" fontId="21" fillId="26" borderId="11" xfId="60" applyFont="1" applyFill="1" applyBorder="1" applyAlignment="1">
      <alignment horizontal="center" vertical="center"/>
      <protection/>
    </xf>
    <xf numFmtId="0" fontId="21" fillId="27" borderId="11" xfId="60" applyFont="1" applyFill="1" applyBorder="1" applyAlignment="1">
      <alignment vertical="center"/>
      <protection/>
    </xf>
    <xf numFmtId="0" fontId="23" fillId="27" borderId="11" xfId="60" applyFont="1" applyFill="1" applyBorder="1" applyAlignment="1">
      <alignment horizontal="center" vertical="center"/>
      <protection/>
    </xf>
    <xf numFmtId="0" fontId="23" fillId="27" borderId="11" xfId="60" applyFont="1" applyFill="1" applyBorder="1" applyAlignment="1">
      <alignment vertical="center"/>
      <protection/>
    </xf>
    <xf numFmtId="4" fontId="23" fillId="27" borderId="11" xfId="60" applyNumberFormat="1" applyFont="1" applyFill="1" applyBorder="1" applyAlignment="1">
      <alignment horizontal="right" vertical="center"/>
      <protection/>
    </xf>
    <xf numFmtId="0" fontId="20" fillId="27" borderId="11" xfId="60" applyFont="1" applyFill="1" applyBorder="1" applyAlignment="1">
      <alignment horizontal="center" vertical="center"/>
      <protection/>
    </xf>
    <xf numFmtId="0" fontId="20" fillId="27" borderId="11" xfId="60" applyFont="1" applyFill="1" applyBorder="1" applyAlignment="1">
      <alignment vertical="center" wrapText="1"/>
      <protection/>
    </xf>
    <xf numFmtId="0" fontId="20" fillId="26" borderId="11" xfId="60" applyFont="1" applyFill="1" applyBorder="1" applyAlignment="1">
      <alignment horizontal="center" vertical="center"/>
      <protection/>
    </xf>
    <xf numFmtId="0" fontId="20" fillId="26" borderId="11" xfId="60" applyFont="1" applyFill="1" applyBorder="1" applyAlignment="1">
      <alignment vertical="center" wrapText="1"/>
      <protection/>
    </xf>
    <xf numFmtId="0" fontId="23" fillId="27" borderId="11" xfId="60" applyFont="1" applyFill="1" applyBorder="1" applyAlignment="1">
      <alignment vertical="center" wrapText="1"/>
      <protection/>
    </xf>
    <xf numFmtId="0" fontId="20" fillId="27" borderId="11" xfId="60" applyFont="1" applyFill="1" applyBorder="1" applyAlignment="1">
      <alignment vertical="center"/>
      <protection/>
    </xf>
    <xf numFmtId="0" fontId="23" fillId="27" borderId="11" xfId="60" applyFont="1" applyFill="1" applyBorder="1" applyAlignment="1">
      <alignment horizontal="justify" vertical="center" wrapText="1"/>
      <protection/>
    </xf>
    <xf numFmtId="0" fontId="20" fillId="27" borderId="11" xfId="60" applyFont="1" applyFill="1" applyBorder="1" applyAlignment="1">
      <alignment horizontal="justify" vertical="center" wrapText="1"/>
      <protection/>
    </xf>
    <xf numFmtId="49" fontId="20" fillId="27" borderId="11" xfId="60" applyNumberFormat="1" applyFont="1" applyFill="1" applyBorder="1" applyAlignment="1">
      <alignment vertical="center" wrapText="1"/>
      <protection/>
    </xf>
    <xf numFmtId="0" fontId="20" fillId="26" borderId="11" xfId="60" applyFont="1" applyFill="1" applyBorder="1" applyAlignment="1">
      <alignment horizontal="center" vertical="center" wrapText="1"/>
      <protection/>
    </xf>
    <xf numFmtId="2" fontId="23" fillId="27" borderId="11" xfId="60" applyNumberFormat="1" applyFont="1" applyFill="1" applyBorder="1" applyAlignment="1">
      <alignment horizontal="justify" vertical="center" wrapText="1"/>
      <protection/>
    </xf>
    <xf numFmtId="2" fontId="20" fillId="27" borderId="11" xfId="60" applyNumberFormat="1" applyFont="1" applyFill="1" applyBorder="1" applyAlignment="1">
      <alignment horizontal="left" vertical="center" wrapText="1"/>
      <protection/>
    </xf>
    <xf numFmtId="0" fontId="20" fillId="27" borderId="11" xfId="60" applyFont="1" applyFill="1" applyBorder="1" applyAlignment="1">
      <alignment horizontal="left" vertical="center" wrapText="1"/>
      <protection/>
    </xf>
    <xf numFmtId="0" fontId="20" fillId="26" borderId="11" xfId="60" applyFont="1" applyFill="1" applyBorder="1" applyAlignment="1">
      <alignment horizontal="left" vertical="center" wrapText="1"/>
      <protection/>
    </xf>
    <xf numFmtId="0" fontId="23" fillId="27" borderId="11" xfId="60" applyFont="1" applyFill="1" applyBorder="1" applyAlignment="1">
      <alignment horizontal="left" vertical="center" wrapText="1"/>
      <protection/>
    </xf>
    <xf numFmtId="4" fontId="23" fillId="0" borderId="11" xfId="60" applyNumberFormat="1" applyFont="1" applyFill="1" applyBorder="1" applyAlignment="1">
      <alignment horizontal="right" vertical="center"/>
      <protection/>
    </xf>
    <xf numFmtId="0" fontId="23" fillId="26" borderId="11" xfId="60" applyFont="1" applyFill="1" applyBorder="1" applyAlignment="1">
      <alignment horizontal="center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11" xfId="60" applyFont="1" applyFill="1" applyBorder="1" applyAlignment="1">
      <alignment vertical="center" wrapText="1"/>
      <protection/>
    </xf>
    <xf numFmtId="4" fontId="44" fillId="0" borderId="11" xfId="60" applyNumberFormat="1" applyFont="1" applyFill="1" applyBorder="1" applyAlignment="1">
      <alignment horizontal="right" vertical="center"/>
      <protection/>
    </xf>
    <xf numFmtId="0" fontId="23" fillId="26" borderId="11" xfId="60" applyFont="1" applyFill="1" applyBorder="1" applyAlignment="1">
      <alignment vertical="center" wrapText="1"/>
      <protection/>
    </xf>
    <xf numFmtId="4" fontId="23" fillId="26" borderId="11" xfId="60" applyNumberFormat="1" applyFont="1" applyFill="1" applyBorder="1" applyAlignment="1">
      <alignment horizontal="right" vertical="center"/>
      <protection/>
    </xf>
    <xf numFmtId="0" fontId="23" fillId="26" borderId="11" xfId="60" applyFont="1" applyFill="1" applyBorder="1" applyAlignment="1">
      <alignment horizontal="center" vertical="center" wrapText="1"/>
      <protection/>
    </xf>
    <xf numFmtId="4" fontId="23" fillId="26" borderId="11" xfId="60" applyNumberFormat="1" applyFont="1" applyFill="1" applyBorder="1" applyAlignment="1">
      <alignment horizontal="right" vertical="center" wrapText="1"/>
      <protection/>
    </xf>
    <xf numFmtId="0" fontId="23" fillId="26" borderId="11" xfId="60" applyFont="1" applyFill="1" applyBorder="1" applyAlignment="1">
      <alignment horizontal="left" vertical="center" wrapText="1"/>
      <protection/>
    </xf>
    <xf numFmtId="0" fontId="21" fillId="26" borderId="11" xfId="60" applyFont="1" applyFill="1" applyBorder="1" applyAlignment="1">
      <alignment vertical="center" wrapText="1"/>
      <protection/>
    </xf>
    <xf numFmtId="0" fontId="22" fillId="27" borderId="11" xfId="60" applyFont="1" applyFill="1" applyBorder="1" applyAlignment="1">
      <alignment horizontal="justify" vertical="center" wrapText="1"/>
      <protection/>
    </xf>
    <xf numFmtId="4" fontId="22" fillId="27" borderId="11" xfId="60" applyNumberFormat="1" applyFont="1" applyFill="1" applyBorder="1" applyAlignment="1">
      <alignment horizontal="right" vertical="center"/>
      <protection/>
    </xf>
    <xf numFmtId="0" fontId="21" fillId="26" borderId="11" xfId="60" applyFont="1" applyFill="1" applyBorder="1" applyAlignment="1">
      <alignment horizontal="center" vertical="center" wrapText="1"/>
      <protection/>
    </xf>
    <xf numFmtId="0" fontId="21" fillId="26" borderId="11" xfId="60" applyFont="1" applyFill="1" applyBorder="1" applyAlignment="1">
      <alignment horizontal="justify" vertical="center" wrapText="1"/>
      <protection/>
    </xf>
    <xf numFmtId="0" fontId="21" fillId="26" borderId="11" xfId="60" applyFont="1" applyFill="1" applyBorder="1" applyAlignment="1">
      <alignment horizontal="left" vertical="center" wrapText="1"/>
      <protection/>
    </xf>
    <xf numFmtId="0" fontId="21" fillId="0" borderId="11" xfId="60" applyFont="1" applyFill="1" applyBorder="1" applyAlignment="1">
      <alignment horizontal="left" vertical="center" wrapText="1"/>
      <protection/>
    </xf>
    <xf numFmtId="0" fontId="21" fillId="0" borderId="11" xfId="60" applyFont="1" applyFill="1" applyBorder="1" applyAlignment="1">
      <alignment vertical="center"/>
      <protection/>
    </xf>
    <xf numFmtId="0" fontId="43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centerContinuous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23" fillId="0" borderId="11" xfId="60" applyFont="1" applyFill="1" applyBorder="1" applyAlignment="1">
      <alignment horizontal="center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Alignment="1">
      <alignment horizontal="right" wrapText="1"/>
    </xf>
    <xf numFmtId="0" fontId="20" fillId="28" borderId="11" xfId="0" applyFont="1" applyFill="1" applyBorder="1" applyAlignment="1">
      <alignment horizontal="center" vertical="center" wrapText="1"/>
    </xf>
    <xf numFmtId="0" fontId="20" fillId="28" borderId="11" xfId="60" applyFont="1" applyFill="1" applyBorder="1" applyAlignment="1">
      <alignment horizontal="center"/>
      <protection/>
    </xf>
    <xf numFmtId="4" fontId="21" fillId="28" borderId="11" xfId="60" applyNumberFormat="1" applyFont="1" applyFill="1" applyBorder="1" applyAlignment="1">
      <alignment horizontal="right" vertical="center"/>
      <protection/>
    </xf>
    <xf numFmtId="4" fontId="22" fillId="28" borderId="11" xfId="60" applyNumberFormat="1" applyFont="1" applyFill="1" applyBorder="1" applyAlignment="1">
      <alignment horizontal="right" vertical="center"/>
      <protection/>
    </xf>
    <xf numFmtId="4" fontId="23" fillId="28" borderId="11" xfId="60" applyNumberFormat="1" applyFont="1" applyFill="1" applyBorder="1" applyAlignment="1">
      <alignment horizontal="right" vertical="center"/>
      <protection/>
    </xf>
    <xf numFmtId="4" fontId="20" fillId="28" borderId="11" xfId="60" applyNumberFormat="1" applyFont="1" applyFill="1" applyBorder="1" applyAlignment="1">
      <alignment horizontal="right" vertical="center"/>
      <protection/>
    </xf>
    <xf numFmtId="4" fontId="44" fillId="28" borderId="11" xfId="60" applyNumberFormat="1" applyFont="1" applyFill="1" applyBorder="1" applyAlignment="1">
      <alignment horizontal="right" vertical="center"/>
      <protection/>
    </xf>
    <xf numFmtId="4" fontId="23" fillId="28" borderId="11" xfId="60" applyNumberFormat="1" applyFont="1" applyFill="1" applyBorder="1" applyAlignment="1">
      <alignment horizontal="right" vertical="center" wrapText="1"/>
      <protection/>
    </xf>
    <xf numFmtId="4" fontId="20" fillId="28" borderId="11" xfId="60" applyNumberFormat="1" applyFont="1" applyFill="1" applyBorder="1" applyAlignment="1">
      <alignment horizontal="right" vertical="center" wrapText="1"/>
      <protection/>
    </xf>
    <xf numFmtId="49" fontId="21" fillId="26" borderId="0" xfId="0" applyNumberFormat="1" applyFont="1" applyFill="1" applyAlignment="1">
      <alignment vertical="center" wrapText="1"/>
    </xf>
    <xf numFmtId="4" fontId="24" fillId="26" borderId="0" xfId="0" applyNumberFormat="1" applyFont="1" applyFill="1" applyAlignment="1">
      <alignment horizontal="centerContinuous"/>
    </xf>
    <xf numFmtId="4" fontId="21" fillId="28" borderId="1" xfId="37" applyNumberFormat="1" applyFont="1" applyFill="1" applyProtection="1">
      <alignment horizontal="right" vertical="top" shrinkToFit="1"/>
      <protection/>
    </xf>
    <xf numFmtId="4" fontId="23" fillId="28" borderId="1" xfId="37" applyNumberFormat="1" applyFont="1" applyFill="1" applyProtection="1">
      <alignment horizontal="right" vertical="top" shrinkToFit="1"/>
      <protection/>
    </xf>
    <xf numFmtId="4" fontId="20" fillId="28" borderId="1" xfId="37" applyNumberFormat="1" applyFont="1" applyFill="1" applyProtection="1">
      <alignment horizontal="right" vertical="top" shrinkToFit="1"/>
      <protection/>
    </xf>
    <xf numFmtId="4" fontId="22" fillId="28" borderId="1" xfId="37" applyNumberFormat="1" applyFont="1" applyFill="1" applyProtection="1">
      <alignment horizontal="right" vertical="top" shrinkToFit="1"/>
      <protection/>
    </xf>
    <xf numFmtId="4" fontId="23" fillId="28" borderId="12" xfId="37" applyNumberFormat="1" applyFont="1" applyFill="1" applyBorder="1" applyProtection="1">
      <alignment horizontal="right" vertical="top" shrinkToFit="1"/>
      <protection/>
    </xf>
    <xf numFmtId="4" fontId="21" fillId="28" borderId="11" xfId="0" applyNumberFormat="1" applyFont="1" applyFill="1" applyBorder="1" applyAlignment="1">
      <alignment horizontal="right" vertical="center" wrapText="1"/>
    </xf>
    <xf numFmtId="4" fontId="23" fillId="26" borderId="0" xfId="0" applyNumberFormat="1" applyFont="1" applyFill="1" applyAlignment="1">
      <alignment horizontal="center"/>
    </xf>
    <xf numFmtId="4" fontId="28" fillId="26" borderId="0" xfId="0" applyNumberFormat="1" applyFont="1" applyFill="1" applyAlignment="1">
      <alignment horizontal="centerContinuous"/>
    </xf>
    <xf numFmtId="49" fontId="22" fillId="26" borderId="0" xfId="0" applyNumberFormat="1" applyFont="1" applyFill="1" applyAlignment="1">
      <alignment vertical="center" wrapText="1"/>
    </xf>
    <xf numFmtId="0" fontId="29" fillId="26" borderId="0" xfId="0" applyFont="1" applyFill="1" applyAlignment="1">
      <alignment horizontal="center"/>
    </xf>
    <xf numFmtId="4" fontId="22" fillId="26" borderId="11" xfId="60" applyNumberFormat="1" applyFont="1" applyFill="1" applyBorder="1" applyAlignment="1">
      <alignment horizontal="right" vertical="center"/>
      <protection/>
    </xf>
    <xf numFmtId="4" fontId="30" fillId="26" borderId="0" xfId="0" applyNumberFormat="1" applyFont="1" applyFill="1" applyAlignment="1">
      <alignment horizontal="center"/>
    </xf>
    <xf numFmtId="0" fontId="21" fillId="0" borderId="11" xfId="60" applyFont="1" applyFill="1" applyBorder="1" applyAlignment="1">
      <alignment horizontal="right" vertical="center"/>
      <protection/>
    </xf>
    <xf numFmtId="0" fontId="43" fillId="0" borderId="11" xfId="0" applyFont="1" applyFill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" xfId="34"/>
    <cellStyle name="xl34" xfId="35"/>
    <cellStyle name="xl35" xfId="36"/>
    <cellStyle name="xl36" xfId="37"/>
    <cellStyle name="xl41" xfId="38"/>
    <cellStyle name="xl6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PageLayoutView="0" workbookViewId="0" topLeftCell="A1">
      <selection activeCell="H1" sqref="H1:M16384"/>
    </sheetView>
  </sheetViews>
  <sheetFormatPr defaultColWidth="9.00390625" defaultRowHeight="12.75"/>
  <cols>
    <col min="1" max="1" width="24.00390625" style="1" customWidth="1"/>
    <col min="2" max="2" width="38.375" style="1" customWidth="1"/>
    <col min="3" max="3" width="19.00390625" style="27" customWidth="1"/>
    <col min="4" max="4" width="17.25390625" style="114" customWidth="1"/>
    <col min="5" max="5" width="19.00390625" style="27" customWidth="1"/>
    <col min="6" max="6" width="16.375" style="114" customWidth="1"/>
    <col min="7" max="7" width="19.00390625" style="27" customWidth="1"/>
    <col min="8" max="16384" width="9.125" style="1" customWidth="1"/>
  </cols>
  <sheetData>
    <row r="1" spans="2:7" ht="12.75">
      <c r="B1" s="3"/>
      <c r="G1" s="27" t="s">
        <v>372</v>
      </c>
    </row>
    <row r="2" spans="2:7" ht="12.75">
      <c r="B2" s="3"/>
      <c r="G2" s="27" t="s">
        <v>373</v>
      </c>
    </row>
    <row r="3" spans="1:7" s="36" customFormat="1" ht="19.5">
      <c r="A3" s="107" t="s">
        <v>429</v>
      </c>
      <c r="B3" s="107"/>
      <c r="C3" s="107"/>
      <c r="D3" s="115"/>
      <c r="E3" s="107"/>
      <c r="F3" s="115"/>
      <c r="G3" s="107"/>
    </row>
    <row r="4" spans="1:7" ht="13.5">
      <c r="A4" s="106"/>
      <c r="B4" s="106"/>
      <c r="C4" s="106"/>
      <c r="D4" s="116"/>
      <c r="E4" s="106"/>
      <c r="F4" s="116"/>
      <c r="G4" s="106"/>
    </row>
    <row r="5" spans="3:7" ht="12.75">
      <c r="C5" s="26"/>
      <c r="D5" s="117"/>
      <c r="E5" s="26"/>
      <c r="F5" s="117"/>
      <c r="G5" s="26"/>
    </row>
    <row r="6" spans="1:7" ht="38.25">
      <c r="A6" s="42" t="s">
        <v>18</v>
      </c>
      <c r="B6" s="43" t="s">
        <v>19</v>
      </c>
      <c r="C6" s="97" t="s">
        <v>427</v>
      </c>
      <c r="D6" s="18" t="s">
        <v>433</v>
      </c>
      <c r="E6" s="97" t="s">
        <v>426</v>
      </c>
      <c r="F6" s="18" t="s">
        <v>434</v>
      </c>
      <c r="G6" s="97" t="s">
        <v>428</v>
      </c>
    </row>
    <row r="7" spans="1:7" ht="12.75">
      <c r="A7" s="44">
        <v>1</v>
      </c>
      <c r="B7" s="44">
        <v>2</v>
      </c>
      <c r="C7" s="98">
        <v>3</v>
      </c>
      <c r="D7" s="94" t="s">
        <v>431</v>
      </c>
      <c r="E7" s="98">
        <v>5</v>
      </c>
      <c r="F7" s="94" t="s">
        <v>432</v>
      </c>
      <c r="G7" s="98">
        <v>7</v>
      </c>
    </row>
    <row r="8" spans="1:7" s="47" customFormat="1" ht="25.5">
      <c r="A8" s="45" t="s">
        <v>20</v>
      </c>
      <c r="B8" s="46" t="s">
        <v>21</v>
      </c>
      <c r="C8" s="99">
        <f>C9+C44</f>
        <v>970512720.74</v>
      </c>
      <c r="D8" s="49">
        <f>D9+D44</f>
        <v>36750056.009999976</v>
      </c>
      <c r="E8" s="99">
        <f>E9+E44</f>
        <v>1007262776.75</v>
      </c>
      <c r="F8" s="49">
        <f>F9+F44</f>
        <v>-57000737.270000026</v>
      </c>
      <c r="G8" s="99">
        <f>G9+G44</f>
        <v>950262039.4799999</v>
      </c>
    </row>
    <row r="9" spans="1:7" s="47" customFormat="1" ht="13.5">
      <c r="A9" s="45"/>
      <c r="B9" s="48" t="s">
        <v>22</v>
      </c>
      <c r="C9" s="100">
        <f>C11+C23+C33+C39+C18</f>
        <v>863464304.04</v>
      </c>
      <c r="D9" s="49">
        <f>D11+D23+D33+D39+D18</f>
        <v>29950213.269999977</v>
      </c>
      <c r="E9" s="100">
        <f>E11+E23+E33+E39+E18</f>
        <v>893414517.31</v>
      </c>
      <c r="F9" s="49">
        <f>F11+F23+F33+F39+F18</f>
        <v>-40528757.23000002</v>
      </c>
      <c r="G9" s="100">
        <f>G11+G23+G33+G39+G18</f>
        <v>852885760.0799999</v>
      </c>
    </row>
    <row r="10" spans="1:7" s="47" customFormat="1" ht="13.5">
      <c r="A10" s="45"/>
      <c r="B10" s="48" t="s">
        <v>23</v>
      </c>
      <c r="C10" s="99"/>
      <c r="D10" s="49"/>
      <c r="E10" s="99"/>
      <c r="F10" s="49"/>
      <c r="G10" s="99"/>
    </row>
    <row r="11" spans="1:7" s="47" customFormat="1" ht="13.5">
      <c r="A11" s="50" t="s">
        <v>24</v>
      </c>
      <c r="B11" s="51" t="s">
        <v>25</v>
      </c>
      <c r="C11" s="99">
        <f>C12</f>
        <v>799517672</v>
      </c>
      <c r="D11" s="82">
        <f>D12</f>
        <v>28682000.569999978</v>
      </c>
      <c r="E11" s="99">
        <f>E12</f>
        <v>828199672.5699999</v>
      </c>
      <c r="F11" s="82">
        <f>F12</f>
        <v>-45915707.92000002</v>
      </c>
      <c r="G11" s="99">
        <f>G12</f>
        <v>782283964.65</v>
      </c>
    </row>
    <row r="12" spans="1:7" ht="12.75">
      <c r="A12" s="52" t="s">
        <v>26</v>
      </c>
      <c r="B12" s="53" t="s">
        <v>27</v>
      </c>
      <c r="C12" s="101">
        <f>C13+C14+C15+C17+C16</f>
        <v>799517672</v>
      </c>
      <c r="D12" s="54">
        <f>D13+D14+D15+D17+D16</f>
        <v>28682000.569999978</v>
      </c>
      <c r="E12" s="101">
        <f>E13+E14+E15+E17+E16</f>
        <v>828199672.5699999</v>
      </c>
      <c r="F12" s="54">
        <f>F13+F14+F15+F17+F16</f>
        <v>-45915707.92000002</v>
      </c>
      <c r="G12" s="101">
        <f>G13+G14+G15+G17+G16</f>
        <v>782283964.65</v>
      </c>
    </row>
    <row r="13" spans="1:7" ht="89.25">
      <c r="A13" s="55" t="s">
        <v>28</v>
      </c>
      <c r="B13" s="56" t="s">
        <v>375</v>
      </c>
      <c r="C13" s="102">
        <v>794551929</v>
      </c>
      <c r="D13" s="54">
        <f>E13-C13</f>
        <v>25679783.399999976</v>
      </c>
      <c r="E13" s="102">
        <v>820231712.4</v>
      </c>
      <c r="F13" s="54">
        <f>G13-E13</f>
        <v>-46413971.360000014</v>
      </c>
      <c r="G13" s="102">
        <f>794551929+25679783.4-46413971.36</f>
        <v>773817741.04</v>
      </c>
    </row>
    <row r="14" spans="1:7" ht="127.5">
      <c r="A14" s="55" t="s">
        <v>29</v>
      </c>
      <c r="B14" s="56" t="s">
        <v>30</v>
      </c>
      <c r="C14" s="102">
        <v>407628</v>
      </c>
      <c r="D14" s="54">
        <f>E14-C14</f>
        <v>0</v>
      </c>
      <c r="E14" s="102">
        <v>407628</v>
      </c>
      <c r="F14" s="54">
        <f>G14-E14</f>
        <v>359887</v>
      </c>
      <c r="G14" s="102">
        <f>407628+359887</f>
        <v>767515</v>
      </c>
    </row>
    <row r="15" spans="1:7" ht="51">
      <c r="A15" s="55" t="s">
        <v>31</v>
      </c>
      <c r="B15" s="56" t="s">
        <v>32</v>
      </c>
      <c r="C15" s="102">
        <v>1908195</v>
      </c>
      <c r="D15" s="54">
        <f>E15-C15</f>
        <v>0</v>
      </c>
      <c r="E15" s="102">
        <v>1908195</v>
      </c>
      <c r="F15" s="54">
        <f>G15-E15</f>
        <v>134955</v>
      </c>
      <c r="G15" s="102">
        <f>1908195+134955</f>
        <v>2043150</v>
      </c>
    </row>
    <row r="16" spans="1:7" ht="102">
      <c r="A16" s="55" t="s">
        <v>376</v>
      </c>
      <c r="B16" s="56" t="s">
        <v>377</v>
      </c>
      <c r="C16" s="102">
        <v>0</v>
      </c>
      <c r="D16" s="54">
        <f>E16-C16</f>
        <v>0</v>
      </c>
      <c r="E16" s="102">
        <v>0</v>
      </c>
      <c r="F16" s="54">
        <f>G16-E16</f>
        <v>3421.44</v>
      </c>
      <c r="G16" s="102">
        <v>3421.44</v>
      </c>
    </row>
    <row r="17" spans="1:7" ht="114.75">
      <c r="A17" s="55" t="s">
        <v>361</v>
      </c>
      <c r="B17" s="56" t="s">
        <v>378</v>
      </c>
      <c r="C17" s="102">
        <v>2649920</v>
      </c>
      <c r="D17" s="54">
        <f>E17-C17</f>
        <v>3002217.17</v>
      </c>
      <c r="E17" s="102">
        <v>5652137.17</v>
      </c>
      <c r="F17" s="54">
        <f>G17-E17</f>
        <v>0</v>
      </c>
      <c r="G17" s="102">
        <f>2649920+3002217.17</f>
        <v>5652137.17</v>
      </c>
    </row>
    <row r="18" spans="1:7" s="47" customFormat="1" ht="38.25">
      <c r="A18" s="50" t="s">
        <v>33</v>
      </c>
      <c r="B18" s="80" t="s">
        <v>34</v>
      </c>
      <c r="C18" s="99">
        <f>C19</f>
        <v>8826428.04</v>
      </c>
      <c r="D18" s="82">
        <f>D19</f>
        <v>0</v>
      </c>
      <c r="E18" s="99">
        <f>E19</f>
        <v>8826428.04</v>
      </c>
      <c r="F18" s="82">
        <f>F19</f>
        <v>1971306.5000000007</v>
      </c>
      <c r="G18" s="99">
        <f>G19</f>
        <v>10797734.54</v>
      </c>
    </row>
    <row r="19" spans="1:7" ht="38.25">
      <c r="A19" s="52" t="s">
        <v>35</v>
      </c>
      <c r="B19" s="59" t="s">
        <v>36</v>
      </c>
      <c r="C19" s="101">
        <f>C20+C21+C22</f>
        <v>8826428.04</v>
      </c>
      <c r="D19" s="54">
        <f>D20+D21+D22</f>
        <v>0</v>
      </c>
      <c r="E19" s="101">
        <f>E20+E21+E22</f>
        <v>8826428.04</v>
      </c>
      <c r="F19" s="54">
        <f>F20+F21+F22</f>
        <v>1971306.5000000007</v>
      </c>
      <c r="G19" s="101">
        <f>G20+G21+G22</f>
        <v>10797734.54</v>
      </c>
    </row>
    <row r="20" spans="1:7" ht="127.5">
      <c r="A20" s="55" t="s">
        <v>379</v>
      </c>
      <c r="B20" s="56" t="s">
        <v>253</v>
      </c>
      <c r="C20" s="102">
        <v>3990699.59</v>
      </c>
      <c r="D20" s="54">
        <f>E20-C20</f>
        <v>0</v>
      </c>
      <c r="E20" s="102">
        <v>3990699.59</v>
      </c>
      <c r="F20" s="54">
        <f>G20-E20</f>
        <v>1151916.7800000003</v>
      </c>
      <c r="G20" s="102">
        <f>3990699.59+1151916.78</f>
        <v>5142616.37</v>
      </c>
    </row>
    <row r="21" spans="1:7" ht="153">
      <c r="A21" s="55" t="s">
        <v>380</v>
      </c>
      <c r="B21" s="56" t="s">
        <v>254</v>
      </c>
      <c r="C21" s="102">
        <v>22090.18</v>
      </c>
      <c r="D21" s="54">
        <f>E21-C21</f>
        <v>0</v>
      </c>
      <c r="E21" s="102">
        <v>22090.18</v>
      </c>
      <c r="F21" s="54">
        <f>G21-E21</f>
        <v>6025.360000000001</v>
      </c>
      <c r="G21" s="102">
        <f>22090.18+6025.36</f>
        <v>28115.54</v>
      </c>
    </row>
    <row r="22" spans="1:7" ht="140.25">
      <c r="A22" s="55" t="s">
        <v>381</v>
      </c>
      <c r="B22" s="56" t="s">
        <v>255</v>
      </c>
      <c r="C22" s="102">
        <v>4813638.27</v>
      </c>
      <c r="D22" s="54">
        <f>E22-C22</f>
        <v>0</v>
      </c>
      <c r="E22" s="102">
        <v>4813638.27</v>
      </c>
      <c r="F22" s="54">
        <f>G22-E22</f>
        <v>813364.3600000003</v>
      </c>
      <c r="G22" s="102">
        <f>4813638.27+813364.36</f>
        <v>5627002.63</v>
      </c>
    </row>
    <row r="23" spans="1:7" ht="12.75">
      <c r="A23" s="57" t="s">
        <v>37</v>
      </c>
      <c r="B23" s="60" t="s">
        <v>38</v>
      </c>
      <c r="C23" s="102">
        <f>C24+C29+C32</f>
        <v>34356583</v>
      </c>
      <c r="D23" s="54">
        <f>D24+D29+D32</f>
        <v>427</v>
      </c>
      <c r="E23" s="102">
        <f>E24+E29+E32</f>
        <v>34357010</v>
      </c>
      <c r="F23" s="54">
        <f>F24+F29+F32</f>
        <v>3275644.189999999</v>
      </c>
      <c r="G23" s="102">
        <f>G24+G29+G32</f>
        <v>37632654.19</v>
      </c>
    </row>
    <row r="24" spans="1:7" ht="25.5">
      <c r="A24" s="52" t="s">
        <v>39</v>
      </c>
      <c r="B24" s="61" t="s">
        <v>40</v>
      </c>
      <c r="C24" s="101">
        <f>C25+C27</f>
        <v>33140660</v>
      </c>
      <c r="D24" s="54">
        <f>D25+D27</f>
        <v>0</v>
      </c>
      <c r="E24" s="101">
        <f>E25+E27</f>
        <v>33140660</v>
      </c>
      <c r="F24" s="54">
        <f>F25+F27</f>
        <v>3251500.539999999</v>
      </c>
      <c r="G24" s="101">
        <f>G25+G27</f>
        <v>36392160.54</v>
      </c>
    </row>
    <row r="25" spans="1:7" ht="38.25">
      <c r="A25" s="55" t="s">
        <v>41</v>
      </c>
      <c r="B25" s="56" t="s">
        <v>42</v>
      </c>
      <c r="C25" s="102">
        <f>C26</f>
        <v>10649611</v>
      </c>
      <c r="D25" s="54">
        <f>D26</f>
        <v>0</v>
      </c>
      <c r="E25" s="102">
        <f>E26</f>
        <v>10649611</v>
      </c>
      <c r="F25" s="54">
        <f>F26</f>
        <v>5870373.280000001</v>
      </c>
      <c r="G25" s="102">
        <f>G26</f>
        <v>16519984.280000001</v>
      </c>
    </row>
    <row r="26" spans="1:7" ht="38.25">
      <c r="A26" s="55" t="s">
        <v>43</v>
      </c>
      <c r="B26" s="56" t="s">
        <v>42</v>
      </c>
      <c r="C26" s="102">
        <v>10649611</v>
      </c>
      <c r="D26" s="54">
        <f>E26-C26</f>
        <v>0</v>
      </c>
      <c r="E26" s="102">
        <v>10649611</v>
      </c>
      <c r="F26" s="54">
        <f>G26-E26</f>
        <v>5870373.280000001</v>
      </c>
      <c r="G26" s="102">
        <f>10649611+5870373.28</f>
        <v>16519984.280000001</v>
      </c>
    </row>
    <row r="27" spans="1:7" ht="51">
      <c r="A27" s="55" t="s">
        <v>44</v>
      </c>
      <c r="B27" s="56" t="s">
        <v>45</v>
      </c>
      <c r="C27" s="102">
        <f>C28</f>
        <v>22491049</v>
      </c>
      <c r="D27" s="54">
        <f>D28</f>
        <v>0</v>
      </c>
      <c r="E27" s="102">
        <f>E28</f>
        <v>22491049</v>
      </c>
      <c r="F27" s="54">
        <f>F28</f>
        <v>-2618872.740000002</v>
      </c>
      <c r="G27" s="102">
        <f>G28</f>
        <v>19872176.259999998</v>
      </c>
    </row>
    <row r="28" spans="1:7" ht="76.5">
      <c r="A28" s="55" t="s">
        <v>46</v>
      </c>
      <c r="B28" s="56" t="s">
        <v>382</v>
      </c>
      <c r="C28" s="102">
        <v>22491049</v>
      </c>
      <c r="D28" s="54">
        <f>E28-C28</f>
        <v>0</v>
      </c>
      <c r="E28" s="102">
        <v>22491049</v>
      </c>
      <c r="F28" s="54">
        <f>G28-E28</f>
        <v>-2618872.740000002</v>
      </c>
      <c r="G28" s="102">
        <f>22491049-2618872.74</f>
        <v>19872176.259999998</v>
      </c>
    </row>
    <row r="29" spans="1:7" ht="25.5">
      <c r="A29" s="52" t="s">
        <v>47</v>
      </c>
      <c r="B29" s="61" t="s">
        <v>48</v>
      </c>
      <c r="C29" s="101">
        <f>C30</f>
        <v>0</v>
      </c>
      <c r="D29" s="54">
        <f>D30</f>
        <v>427</v>
      </c>
      <c r="E29" s="101">
        <f>E30</f>
        <v>427</v>
      </c>
      <c r="F29" s="54">
        <f>F30</f>
        <v>24143.65</v>
      </c>
      <c r="G29" s="101">
        <f>G30</f>
        <v>24570.65</v>
      </c>
    </row>
    <row r="30" spans="1:7" ht="25.5">
      <c r="A30" s="55" t="s">
        <v>49</v>
      </c>
      <c r="B30" s="56" t="s">
        <v>50</v>
      </c>
      <c r="C30" s="102">
        <v>0</v>
      </c>
      <c r="D30" s="54">
        <f>E30-C30</f>
        <v>427</v>
      </c>
      <c r="E30" s="102">
        <v>427</v>
      </c>
      <c r="F30" s="54">
        <f>G30-E30</f>
        <v>24143.65</v>
      </c>
      <c r="G30" s="102">
        <f>427+24143.65</f>
        <v>24570.65</v>
      </c>
    </row>
    <row r="31" spans="1:7" ht="25.5">
      <c r="A31" s="52" t="s">
        <v>51</v>
      </c>
      <c r="B31" s="61" t="s">
        <v>52</v>
      </c>
      <c r="C31" s="101">
        <f>C32</f>
        <v>1215923</v>
      </c>
      <c r="D31" s="54">
        <f>D32</f>
        <v>0</v>
      </c>
      <c r="E31" s="101">
        <f>E32</f>
        <v>1215923</v>
      </c>
      <c r="F31" s="54">
        <f>F32</f>
        <v>0</v>
      </c>
      <c r="G31" s="101">
        <f>G32</f>
        <v>1215923</v>
      </c>
    </row>
    <row r="32" spans="1:7" ht="38.25">
      <c r="A32" s="55" t="s">
        <v>53</v>
      </c>
      <c r="B32" s="62" t="s">
        <v>54</v>
      </c>
      <c r="C32" s="102">
        <v>1215923</v>
      </c>
      <c r="D32" s="54">
        <f>E32-C32</f>
        <v>0</v>
      </c>
      <c r="E32" s="102">
        <v>1215923</v>
      </c>
      <c r="F32" s="54">
        <f>G32-E32</f>
        <v>0</v>
      </c>
      <c r="G32" s="102">
        <v>1215923</v>
      </c>
    </row>
    <row r="33" spans="1:7" s="47" customFormat="1" ht="18.75" customHeight="1">
      <c r="A33" s="50" t="s">
        <v>55</v>
      </c>
      <c r="B33" s="51" t="s">
        <v>56</v>
      </c>
      <c r="C33" s="99">
        <f>C34+C36</f>
        <v>11956621</v>
      </c>
      <c r="D33" s="82">
        <f>D34+D36</f>
        <v>0</v>
      </c>
      <c r="E33" s="99">
        <f>E34+E36</f>
        <v>11956621</v>
      </c>
      <c r="F33" s="82">
        <f>F34+F36</f>
        <v>-750000</v>
      </c>
      <c r="G33" s="99">
        <f>G34+G36</f>
        <v>11206621</v>
      </c>
    </row>
    <row r="34" spans="1:7" ht="12.75">
      <c r="A34" s="52" t="s">
        <v>57</v>
      </c>
      <c r="B34" s="61" t="s">
        <v>58</v>
      </c>
      <c r="C34" s="101">
        <f>C35</f>
        <v>5875704</v>
      </c>
      <c r="D34" s="54">
        <f>D35</f>
        <v>0</v>
      </c>
      <c r="E34" s="101">
        <f>E35</f>
        <v>5875704</v>
      </c>
      <c r="F34" s="54">
        <f>F35</f>
        <v>0</v>
      </c>
      <c r="G34" s="101">
        <f>G35</f>
        <v>5875704</v>
      </c>
    </row>
    <row r="35" spans="1:7" ht="51">
      <c r="A35" s="55" t="s">
        <v>59</v>
      </c>
      <c r="B35" s="63" t="s">
        <v>60</v>
      </c>
      <c r="C35" s="102">
        <v>5875704</v>
      </c>
      <c r="D35" s="76">
        <f>E35-C35</f>
        <v>0</v>
      </c>
      <c r="E35" s="102">
        <v>5875704</v>
      </c>
      <c r="F35" s="76">
        <f>G35-E35</f>
        <v>0</v>
      </c>
      <c r="G35" s="102">
        <v>5875704</v>
      </c>
    </row>
    <row r="36" spans="1:7" ht="12.75">
      <c r="A36" s="52" t="s">
        <v>61</v>
      </c>
      <c r="B36" s="61" t="s">
        <v>62</v>
      </c>
      <c r="C36" s="101">
        <f aca="true" t="shared" si="0" ref="C36:F37">C37</f>
        <v>6080917</v>
      </c>
      <c r="D36" s="54">
        <f t="shared" si="0"/>
        <v>0</v>
      </c>
      <c r="E36" s="101">
        <f t="shared" si="0"/>
        <v>6080917</v>
      </c>
      <c r="F36" s="54">
        <f t="shared" si="0"/>
        <v>-750000</v>
      </c>
      <c r="G36" s="101">
        <f>G37</f>
        <v>5330917</v>
      </c>
    </row>
    <row r="37" spans="1:7" ht="12.75">
      <c r="A37" s="55" t="s">
        <v>10</v>
      </c>
      <c r="B37" s="56" t="s">
        <v>11</v>
      </c>
      <c r="C37" s="102">
        <f t="shared" si="0"/>
        <v>6080917</v>
      </c>
      <c r="D37" s="54">
        <f t="shared" si="0"/>
        <v>0</v>
      </c>
      <c r="E37" s="102">
        <f t="shared" si="0"/>
        <v>6080917</v>
      </c>
      <c r="F37" s="54">
        <f t="shared" si="0"/>
        <v>-750000</v>
      </c>
      <c r="G37" s="102">
        <f>G38</f>
        <v>5330917</v>
      </c>
    </row>
    <row r="38" spans="1:7" ht="51">
      <c r="A38" s="55" t="s">
        <v>12</v>
      </c>
      <c r="B38" s="56" t="s">
        <v>13</v>
      </c>
      <c r="C38" s="102">
        <v>6080917</v>
      </c>
      <c r="D38" s="54">
        <f>E38-C38</f>
        <v>0</v>
      </c>
      <c r="E38" s="102">
        <v>6080917</v>
      </c>
      <c r="F38" s="54">
        <f>G38-E38</f>
        <v>-750000</v>
      </c>
      <c r="G38" s="102">
        <f>6080917-750000</f>
        <v>5330917</v>
      </c>
    </row>
    <row r="39" spans="1:7" s="47" customFormat="1" ht="21" customHeight="1">
      <c r="A39" s="50" t="s">
        <v>63</v>
      </c>
      <c r="B39" s="51" t="s">
        <v>64</v>
      </c>
      <c r="C39" s="99">
        <f>C40+C42</f>
        <v>8807000</v>
      </c>
      <c r="D39" s="82">
        <f>D40+D42</f>
        <v>1267785.6999999993</v>
      </c>
      <c r="E39" s="99">
        <f>E40+E42</f>
        <v>10074785.7</v>
      </c>
      <c r="F39" s="82">
        <f>F40+F42</f>
        <v>890000</v>
      </c>
      <c r="G39" s="99">
        <f>G40+G42</f>
        <v>10964785.7</v>
      </c>
    </row>
    <row r="40" spans="1:7" ht="38.25">
      <c r="A40" s="52" t="s">
        <v>65</v>
      </c>
      <c r="B40" s="59" t="s">
        <v>66</v>
      </c>
      <c r="C40" s="101">
        <f>C41</f>
        <v>8797000</v>
      </c>
      <c r="D40" s="54">
        <f>D41</f>
        <v>1267785.6999999993</v>
      </c>
      <c r="E40" s="101">
        <f>E41</f>
        <v>10064785.7</v>
      </c>
      <c r="F40" s="54">
        <f>F41</f>
        <v>900000</v>
      </c>
      <c r="G40" s="101">
        <f>G41</f>
        <v>10964785.7</v>
      </c>
    </row>
    <row r="41" spans="1:7" ht="63.75">
      <c r="A41" s="55" t="s">
        <v>67</v>
      </c>
      <c r="B41" s="56" t="s">
        <v>68</v>
      </c>
      <c r="C41" s="102">
        <v>8797000</v>
      </c>
      <c r="D41" s="54">
        <f>E41-C41</f>
        <v>1267785.6999999993</v>
      </c>
      <c r="E41" s="102">
        <v>10064785.7</v>
      </c>
      <c r="F41" s="54">
        <f>G41-E41</f>
        <v>900000</v>
      </c>
      <c r="G41" s="102">
        <f>8797000+1267785.7+900000</f>
        <v>10964785.7</v>
      </c>
    </row>
    <row r="42" spans="1:7" ht="51">
      <c r="A42" s="52" t="s">
        <v>69</v>
      </c>
      <c r="B42" s="59" t="s">
        <v>70</v>
      </c>
      <c r="C42" s="101">
        <f>C43</f>
        <v>10000</v>
      </c>
      <c r="D42" s="54">
        <f>D43</f>
        <v>0</v>
      </c>
      <c r="E42" s="101">
        <f>E43</f>
        <v>10000</v>
      </c>
      <c r="F42" s="54">
        <f>F43</f>
        <v>-10000</v>
      </c>
      <c r="G42" s="101">
        <f>G43</f>
        <v>0</v>
      </c>
    </row>
    <row r="43" spans="1:7" ht="38.25">
      <c r="A43" s="55" t="s">
        <v>71</v>
      </c>
      <c r="B43" s="56" t="s">
        <v>72</v>
      </c>
      <c r="C43" s="102">
        <v>10000</v>
      </c>
      <c r="D43" s="54">
        <f>E43-C43</f>
        <v>0</v>
      </c>
      <c r="E43" s="102">
        <v>10000</v>
      </c>
      <c r="F43" s="54">
        <f>G43-E43</f>
        <v>-10000</v>
      </c>
      <c r="G43" s="102">
        <f>10000-10000</f>
        <v>0</v>
      </c>
    </row>
    <row r="44" spans="1:7" s="47" customFormat="1" ht="13.5">
      <c r="A44" s="50"/>
      <c r="B44" s="81" t="s">
        <v>73</v>
      </c>
      <c r="C44" s="100">
        <f>C45+C59+C65+C74+C78+C121</f>
        <v>107048416.7</v>
      </c>
      <c r="D44" s="82">
        <f>D45+D59+D65+D74+D78+D121</f>
        <v>6799842.739999995</v>
      </c>
      <c r="E44" s="100">
        <f>E45+E59+E65+E74+E78+E121</f>
        <v>113848259.44000001</v>
      </c>
      <c r="F44" s="82">
        <f>F45+F59+F65+F74+F78+F121</f>
        <v>-16471980.040000003</v>
      </c>
      <c r="G44" s="100">
        <f>G45+G59+G65+G74+G78+G121</f>
        <v>97376279.40000002</v>
      </c>
    </row>
    <row r="45" spans="1:7" s="47" customFormat="1" ht="38.25">
      <c r="A45" s="83" t="s">
        <v>74</v>
      </c>
      <c r="B45" s="84" t="s">
        <v>75</v>
      </c>
      <c r="C45" s="99">
        <f>C46+C53+C56</f>
        <v>91719489.13000001</v>
      </c>
      <c r="D45" s="82">
        <f>D46+D53+D56</f>
        <v>6370242.739999995</v>
      </c>
      <c r="E45" s="99">
        <f>E46+E53+E56</f>
        <v>98089731.87</v>
      </c>
      <c r="F45" s="82">
        <f>F46+F53+F56</f>
        <v>-15413165.25</v>
      </c>
      <c r="G45" s="99">
        <f>G46+G53+G56</f>
        <v>82676566.62</v>
      </c>
    </row>
    <row r="46" spans="1:7" ht="114.75">
      <c r="A46" s="52" t="s">
        <v>76</v>
      </c>
      <c r="B46" s="65" t="s">
        <v>77</v>
      </c>
      <c r="C46" s="101">
        <f>C47+C49+C51</f>
        <v>17630465.48</v>
      </c>
      <c r="D46" s="54">
        <f>D47+D49+D51</f>
        <v>0</v>
      </c>
      <c r="E46" s="101">
        <f>E47+E49+E51</f>
        <v>17630465.48</v>
      </c>
      <c r="F46" s="54">
        <f>F47+F49+F51</f>
        <v>-3990000</v>
      </c>
      <c r="G46" s="101">
        <f>G47+G49+G51</f>
        <v>13640465.48</v>
      </c>
    </row>
    <row r="47" spans="1:7" ht="76.5">
      <c r="A47" s="55" t="s">
        <v>78</v>
      </c>
      <c r="B47" s="56" t="s">
        <v>79</v>
      </c>
      <c r="C47" s="102">
        <f>C48</f>
        <v>5956766.25</v>
      </c>
      <c r="D47" s="54">
        <f>D48</f>
        <v>0</v>
      </c>
      <c r="E47" s="102">
        <f>E48</f>
        <v>5956766.25</v>
      </c>
      <c r="F47" s="54">
        <f>F48</f>
        <v>0</v>
      </c>
      <c r="G47" s="102">
        <f>G48</f>
        <v>5956766.25</v>
      </c>
    </row>
    <row r="48" spans="1:7" ht="89.25">
      <c r="A48" s="55" t="s">
        <v>80</v>
      </c>
      <c r="B48" s="66" t="s">
        <v>3</v>
      </c>
      <c r="C48" s="102">
        <v>5956766.25</v>
      </c>
      <c r="D48" s="54">
        <f>E48-C48</f>
        <v>0</v>
      </c>
      <c r="E48" s="102">
        <v>5956766.25</v>
      </c>
      <c r="F48" s="54">
        <f>G48-E48</f>
        <v>0</v>
      </c>
      <c r="G48" s="102">
        <v>5956766.25</v>
      </c>
    </row>
    <row r="49" spans="1:7" ht="102">
      <c r="A49" s="55" t="s">
        <v>81</v>
      </c>
      <c r="B49" s="56" t="s">
        <v>82</v>
      </c>
      <c r="C49" s="102">
        <f>C50</f>
        <v>3134813.47</v>
      </c>
      <c r="D49" s="54">
        <f>D50</f>
        <v>0</v>
      </c>
      <c r="E49" s="102">
        <f>E50</f>
        <v>3134813.47</v>
      </c>
      <c r="F49" s="54">
        <f>F50</f>
        <v>-650000</v>
      </c>
      <c r="G49" s="102">
        <f>G50</f>
        <v>2484813.47</v>
      </c>
    </row>
    <row r="50" spans="1:7" ht="89.25">
      <c r="A50" s="55" t="s">
        <v>83</v>
      </c>
      <c r="B50" s="66" t="s">
        <v>4</v>
      </c>
      <c r="C50" s="102">
        <v>3134813.47</v>
      </c>
      <c r="D50" s="54">
        <f>E50-C50</f>
        <v>0</v>
      </c>
      <c r="E50" s="102">
        <v>3134813.47</v>
      </c>
      <c r="F50" s="54">
        <f>G50-E50</f>
        <v>-650000</v>
      </c>
      <c r="G50" s="102">
        <f>3134813.47-650000</f>
        <v>2484813.47</v>
      </c>
    </row>
    <row r="51" spans="1:7" ht="51">
      <c r="A51" s="55" t="s">
        <v>142</v>
      </c>
      <c r="B51" s="66" t="s">
        <v>141</v>
      </c>
      <c r="C51" s="102">
        <f>C52</f>
        <v>8538885.76</v>
      </c>
      <c r="D51" s="54">
        <f>D52</f>
        <v>0</v>
      </c>
      <c r="E51" s="102">
        <f>E52</f>
        <v>8538885.76</v>
      </c>
      <c r="F51" s="54">
        <f>F52</f>
        <v>-3340000</v>
      </c>
      <c r="G51" s="102">
        <f>G52</f>
        <v>5198885.76</v>
      </c>
    </row>
    <row r="52" spans="1:7" ht="38.25">
      <c r="A52" s="55" t="s">
        <v>140</v>
      </c>
      <c r="B52" s="66" t="s">
        <v>139</v>
      </c>
      <c r="C52" s="102">
        <v>8538885.76</v>
      </c>
      <c r="D52" s="54">
        <f>E52-C52</f>
        <v>0</v>
      </c>
      <c r="E52" s="102">
        <v>8538885.76</v>
      </c>
      <c r="F52" s="54">
        <f>G52-E52</f>
        <v>-3340000</v>
      </c>
      <c r="G52" s="102">
        <f>8538885.76-3340000</f>
        <v>5198885.76</v>
      </c>
    </row>
    <row r="53" spans="1:7" ht="25.5">
      <c r="A53" s="52" t="s">
        <v>84</v>
      </c>
      <c r="B53" s="59" t="s">
        <v>85</v>
      </c>
      <c r="C53" s="101">
        <f aca="true" t="shared" si="1" ref="C53:F54">C54</f>
        <v>330440</v>
      </c>
      <c r="D53" s="54">
        <f t="shared" si="1"/>
        <v>0</v>
      </c>
      <c r="E53" s="101">
        <f t="shared" si="1"/>
        <v>330440</v>
      </c>
      <c r="F53" s="54">
        <f t="shared" si="1"/>
        <v>-330440</v>
      </c>
      <c r="G53" s="101">
        <f>G54</f>
        <v>0</v>
      </c>
    </row>
    <row r="54" spans="1:7" ht="51">
      <c r="A54" s="55" t="s">
        <v>86</v>
      </c>
      <c r="B54" s="56" t="s">
        <v>87</v>
      </c>
      <c r="C54" s="102">
        <f t="shared" si="1"/>
        <v>330440</v>
      </c>
      <c r="D54" s="54">
        <f t="shared" si="1"/>
        <v>0</v>
      </c>
      <c r="E54" s="102">
        <f t="shared" si="1"/>
        <v>330440</v>
      </c>
      <c r="F54" s="54">
        <f t="shared" si="1"/>
        <v>-330440</v>
      </c>
      <c r="G54" s="102">
        <f>G55</f>
        <v>0</v>
      </c>
    </row>
    <row r="55" spans="1:7" ht="63.75">
      <c r="A55" s="55" t="s">
        <v>88</v>
      </c>
      <c r="B55" s="67" t="s">
        <v>0</v>
      </c>
      <c r="C55" s="102">
        <v>330440</v>
      </c>
      <c r="D55" s="54">
        <f>E55-C55</f>
        <v>0</v>
      </c>
      <c r="E55" s="102">
        <v>330440</v>
      </c>
      <c r="F55" s="54">
        <f>G55-E55</f>
        <v>-330440</v>
      </c>
      <c r="G55" s="102">
        <f>330440-330440</f>
        <v>0</v>
      </c>
    </row>
    <row r="56" spans="1:7" ht="102">
      <c r="A56" s="52" t="s">
        <v>89</v>
      </c>
      <c r="B56" s="59" t="s">
        <v>90</v>
      </c>
      <c r="C56" s="101">
        <f aca="true" t="shared" si="2" ref="C56:F57">C57</f>
        <v>73758583.65</v>
      </c>
      <c r="D56" s="54">
        <f t="shared" si="2"/>
        <v>6370242.739999995</v>
      </c>
      <c r="E56" s="101">
        <f t="shared" si="2"/>
        <v>80128826.39</v>
      </c>
      <c r="F56" s="54">
        <f t="shared" si="2"/>
        <v>-11092725.25</v>
      </c>
      <c r="G56" s="101">
        <f>G57</f>
        <v>69036101.14</v>
      </c>
    </row>
    <row r="57" spans="1:7" ht="102">
      <c r="A57" s="55" t="s">
        <v>91</v>
      </c>
      <c r="B57" s="56" t="s">
        <v>92</v>
      </c>
      <c r="C57" s="102">
        <f t="shared" si="2"/>
        <v>73758583.65</v>
      </c>
      <c r="D57" s="54">
        <f t="shared" si="2"/>
        <v>6370242.739999995</v>
      </c>
      <c r="E57" s="102">
        <f t="shared" si="2"/>
        <v>80128826.39</v>
      </c>
      <c r="F57" s="54">
        <f t="shared" si="2"/>
        <v>-11092725.25</v>
      </c>
      <c r="G57" s="102">
        <f>G58</f>
        <v>69036101.14</v>
      </c>
    </row>
    <row r="58" spans="1:7" ht="89.25">
      <c r="A58" s="55" t="s">
        <v>93</v>
      </c>
      <c r="B58" s="67" t="s">
        <v>5</v>
      </c>
      <c r="C58" s="102">
        <v>73758583.65</v>
      </c>
      <c r="D58" s="54">
        <f>E58-C58</f>
        <v>6370242.739999995</v>
      </c>
      <c r="E58" s="102">
        <v>80128826.39</v>
      </c>
      <c r="F58" s="54">
        <f>G58-E58</f>
        <v>-11092725.25</v>
      </c>
      <c r="G58" s="102">
        <f>73758583.65+6370242.74-11092725.25</f>
        <v>69036101.14</v>
      </c>
    </row>
    <row r="59" spans="1:7" s="47" customFormat="1" ht="25.5">
      <c r="A59" s="50" t="s">
        <v>94</v>
      </c>
      <c r="B59" s="85" t="s">
        <v>95</v>
      </c>
      <c r="C59" s="99">
        <f>C60</f>
        <v>3339106</v>
      </c>
      <c r="D59" s="82">
        <f>D60</f>
        <v>0</v>
      </c>
      <c r="E59" s="99">
        <f>E60</f>
        <v>3339106</v>
      </c>
      <c r="F59" s="82">
        <f>F60</f>
        <v>-1927755.94</v>
      </c>
      <c r="G59" s="99">
        <f>G60</f>
        <v>1411350.06</v>
      </c>
    </row>
    <row r="60" spans="1:7" ht="25.5">
      <c r="A60" s="52" t="s">
        <v>96</v>
      </c>
      <c r="B60" s="69" t="s">
        <v>97</v>
      </c>
      <c r="C60" s="101">
        <f>C61+C62+C63+C64</f>
        <v>3339106</v>
      </c>
      <c r="D60" s="54">
        <f>D61+D62+D63+D64</f>
        <v>0</v>
      </c>
      <c r="E60" s="101">
        <f>E61+E62+E63+E64</f>
        <v>3339106</v>
      </c>
      <c r="F60" s="54">
        <f>F61+F62+F63+F64</f>
        <v>-1927755.94</v>
      </c>
      <c r="G60" s="101">
        <f>G61+G62+G63+G64</f>
        <v>1411350.06</v>
      </c>
    </row>
    <row r="61" spans="1:7" ht="38.25">
      <c r="A61" s="55" t="s">
        <v>98</v>
      </c>
      <c r="B61" s="56" t="s">
        <v>99</v>
      </c>
      <c r="C61" s="102">
        <v>603990</v>
      </c>
      <c r="D61" s="54">
        <f>E61-C61</f>
        <v>0</v>
      </c>
      <c r="E61" s="102">
        <v>603990</v>
      </c>
      <c r="F61" s="54">
        <f>G61-E61</f>
        <v>156837.5</v>
      </c>
      <c r="G61" s="102">
        <f>603990+156837.5</f>
        <v>760827.5</v>
      </c>
    </row>
    <row r="62" spans="1:7" ht="25.5">
      <c r="A62" s="55" t="s">
        <v>100</v>
      </c>
      <c r="B62" s="56" t="s">
        <v>101</v>
      </c>
      <c r="C62" s="102">
        <v>2353698</v>
      </c>
      <c r="D62" s="54">
        <f>E62-C62</f>
        <v>0</v>
      </c>
      <c r="E62" s="102">
        <v>2353698</v>
      </c>
      <c r="F62" s="54">
        <f>G62-E62</f>
        <v>-1911626.68</v>
      </c>
      <c r="G62" s="102">
        <f>2353698-1911626.68</f>
        <v>442071.32000000007</v>
      </c>
    </row>
    <row r="63" spans="1:7" ht="12.75">
      <c r="A63" s="55" t="s">
        <v>143</v>
      </c>
      <c r="B63" s="56" t="s">
        <v>144</v>
      </c>
      <c r="C63" s="102">
        <v>379258</v>
      </c>
      <c r="D63" s="54">
        <f>E63-C63</f>
        <v>0</v>
      </c>
      <c r="E63" s="102">
        <v>379258</v>
      </c>
      <c r="F63" s="54">
        <f>G63-E63</f>
        <v>-170806.76</v>
      </c>
      <c r="G63" s="102">
        <f>379258-170806.76</f>
        <v>208451.24</v>
      </c>
    </row>
    <row r="64" spans="1:7" ht="25.5">
      <c r="A64" s="55" t="s">
        <v>256</v>
      </c>
      <c r="B64" s="56" t="s">
        <v>232</v>
      </c>
      <c r="C64" s="102">
        <v>2160</v>
      </c>
      <c r="D64" s="54">
        <f>E64-C64</f>
        <v>0</v>
      </c>
      <c r="E64" s="102">
        <v>2160</v>
      </c>
      <c r="F64" s="54">
        <f>G64-E64</f>
        <v>-2160</v>
      </c>
      <c r="G64" s="102">
        <f>2160-2160</f>
        <v>0</v>
      </c>
    </row>
    <row r="65" spans="1:7" s="47" customFormat="1" ht="25.5">
      <c r="A65" s="50" t="s">
        <v>14</v>
      </c>
      <c r="B65" s="85" t="s">
        <v>102</v>
      </c>
      <c r="C65" s="99">
        <f>C69+C66</f>
        <v>1072624.71</v>
      </c>
      <c r="D65" s="82">
        <f>D69+D66</f>
        <v>0</v>
      </c>
      <c r="E65" s="99">
        <f>E69+E66</f>
        <v>1072624.71</v>
      </c>
      <c r="F65" s="82">
        <f>F69+F66</f>
        <v>731383.4900000001</v>
      </c>
      <c r="G65" s="99">
        <f>G69+G66</f>
        <v>1804008.2000000002</v>
      </c>
    </row>
    <row r="66" spans="1:7" ht="12.75">
      <c r="A66" s="52" t="s">
        <v>138</v>
      </c>
      <c r="B66" s="69" t="s">
        <v>137</v>
      </c>
      <c r="C66" s="101">
        <f aca="true" t="shared" si="3" ref="C66:F67">C67</f>
        <v>220050</v>
      </c>
      <c r="D66" s="54">
        <f t="shared" si="3"/>
        <v>0</v>
      </c>
      <c r="E66" s="101">
        <f t="shared" si="3"/>
        <v>220050</v>
      </c>
      <c r="F66" s="54">
        <f t="shared" si="3"/>
        <v>-194111</v>
      </c>
      <c r="G66" s="101">
        <f>G67</f>
        <v>25939</v>
      </c>
    </row>
    <row r="67" spans="1:7" ht="25.5">
      <c r="A67" s="55" t="s">
        <v>136</v>
      </c>
      <c r="B67" s="67" t="s">
        <v>135</v>
      </c>
      <c r="C67" s="102">
        <f t="shared" si="3"/>
        <v>220050</v>
      </c>
      <c r="D67" s="54">
        <f t="shared" si="3"/>
        <v>0</v>
      </c>
      <c r="E67" s="102">
        <f t="shared" si="3"/>
        <v>220050</v>
      </c>
      <c r="F67" s="54">
        <f t="shared" si="3"/>
        <v>-194111</v>
      </c>
      <c r="G67" s="102">
        <f>G68</f>
        <v>25939</v>
      </c>
    </row>
    <row r="68" spans="1:7" ht="38.25">
      <c r="A68" s="55" t="s">
        <v>134</v>
      </c>
      <c r="B68" s="67" t="s">
        <v>133</v>
      </c>
      <c r="C68" s="102">
        <v>220050</v>
      </c>
      <c r="D68" s="54">
        <f>E68-C68</f>
        <v>0</v>
      </c>
      <c r="E68" s="102">
        <v>220050</v>
      </c>
      <c r="F68" s="54">
        <f>G68-E68</f>
        <v>-194111</v>
      </c>
      <c r="G68" s="102">
        <f>220050-194111</f>
        <v>25939</v>
      </c>
    </row>
    <row r="69" spans="1:7" ht="25.5">
      <c r="A69" s="52" t="s">
        <v>16</v>
      </c>
      <c r="B69" s="69" t="s">
        <v>15</v>
      </c>
      <c r="C69" s="101">
        <f>C72+C70</f>
        <v>852574.71</v>
      </c>
      <c r="D69" s="54">
        <f>D72+D70</f>
        <v>0</v>
      </c>
      <c r="E69" s="101">
        <f>E72+E70</f>
        <v>852574.71</v>
      </c>
      <c r="F69" s="54">
        <f>F72+F70</f>
        <v>925494.4900000001</v>
      </c>
      <c r="G69" s="101">
        <f>G72+G70</f>
        <v>1778069.2000000002</v>
      </c>
    </row>
    <row r="70" spans="1:7" ht="38.25">
      <c r="A70" s="55" t="s">
        <v>103</v>
      </c>
      <c r="B70" s="67" t="s">
        <v>104</v>
      </c>
      <c r="C70" s="102">
        <f>C71</f>
        <v>303452.44</v>
      </c>
      <c r="D70" s="54">
        <f>D71</f>
        <v>0</v>
      </c>
      <c r="E70" s="102">
        <f>E71</f>
        <v>303452.44</v>
      </c>
      <c r="F70" s="54">
        <f>F71</f>
        <v>-85740.9</v>
      </c>
      <c r="G70" s="102">
        <f>G71</f>
        <v>217711.54</v>
      </c>
    </row>
    <row r="71" spans="1:7" ht="38.25">
      <c r="A71" s="55" t="s">
        <v>105</v>
      </c>
      <c r="B71" s="67" t="s">
        <v>1</v>
      </c>
      <c r="C71" s="102">
        <v>303452.44</v>
      </c>
      <c r="D71" s="54">
        <f>E71-C71</f>
        <v>0</v>
      </c>
      <c r="E71" s="102">
        <v>303452.44</v>
      </c>
      <c r="F71" s="54">
        <f>G71-E71</f>
        <v>-85740.9</v>
      </c>
      <c r="G71" s="102">
        <f>303452.44-85740.9</f>
        <v>217711.54</v>
      </c>
    </row>
    <row r="72" spans="1:7" ht="25.5">
      <c r="A72" s="55" t="s">
        <v>106</v>
      </c>
      <c r="B72" s="67" t="s">
        <v>107</v>
      </c>
      <c r="C72" s="102">
        <f>C73</f>
        <v>549122.27</v>
      </c>
      <c r="D72" s="54">
        <f>D73</f>
        <v>0</v>
      </c>
      <c r="E72" s="102">
        <f>E73</f>
        <v>549122.27</v>
      </c>
      <c r="F72" s="54">
        <f>F73</f>
        <v>1011235.3900000001</v>
      </c>
      <c r="G72" s="102">
        <f>G73</f>
        <v>1560357.6600000001</v>
      </c>
    </row>
    <row r="73" spans="1:7" ht="25.5">
      <c r="A73" s="55" t="s">
        <v>17</v>
      </c>
      <c r="B73" s="67" t="s">
        <v>9</v>
      </c>
      <c r="C73" s="102">
        <v>549122.27</v>
      </c>
      <c r="D73" s="54">
        <f>E73-C73</f>
        <v>0</v>
      </c>
      <c r="E73" s="102">
        <v>549122.27</v>
      </c>
      <c r="F73" s="54">
        <f>G73-E73</f>
        <v>1011235.3900000001</v>
      </c>
      <c r="G73" s="102">
        <f>549122.27+1011235.39</f>
        <v>1560357.6600000001</v>
      </c>
    </row>
    <row r="74" spans="1:7" s="47" customFormat="1" ht="25.5">
      <c r="A74" s="50" t="s">
        <v>108</v>
      </c>
      <c r="B74" s="85" t="s">
        <v>109</v>
      </c>
      <c r="C74" s="99">
        <f aca="true" t="shared" si="4" ref="C74:F76">C75</f>
        <v>6990645.82</v>
      </c>
      <c r="D74" s="82">
        <f t="shared" si="4"/>
        <v>0</v>
      </c>
      <c r="E74" s="99">
        <f t="shared" si="4"/>
        <v>6990645.82</v>
      </c>
      <c r="F74" s="82">
        <f t="shared" si="4"/>
        <v>816127.5499999998</v>
      </c>
      <c r="G74" s="99">
        <f>G75</f>
        <v>7806773.37</v>
      </c>
    </row>
    <row r="75" spans="1:7" ht="102">
      <c r="A75" s="52" t="s">
        <v>110</v>
      </c>
      <c r="B75" s="59" t="s">
        <v>111</v>
      </c>
      <c r="C75" s="101">
        <f t="shared" si="4"/>
        <v>6990645.82</v>
      </c>
      <c r="D75" s="54">
        <f t="shared" si="4"/>
        <v>0</v>
      </c>
      <c r="E75" s="101">
        <f t="shared" si="4"/>
        <v>6990645.82</v>
      </c>
      <c r="F75" s="54">
        <f t="shared" si="4"/>
        <v>816127.5499999998</v>
      </c>
      <c r="G75" s="101">
        <f>G76</f>
        <v>7806773.37</v>
      </c>
    </row>
    <row r="76" spans="1:7" ht="102">
      <c r="A76" s="55" t="s">
        <v>112</v>
      </c>
      <c r="B76" s="56" t="s">
        <v>113</v>
      </c>
      <c r="C76" s="102">
        <f t="shared" si="4"/>
        <v>6990645.82</v>
      </c>
      <c r="D76" s="54">
        <f t="shared" si="4"/>
        <v>0</v>
      </c>
      <c r="E76" s="102">
        <f t="shared" si="4"/>
        <v>6990645.82</v>
      </c>
      <c r="F76" s="54">
        <f t="shared" si="4"/>
        <v>816127.5499999998</v>
      </c>
      <c r="G76" s="102">
        <f>G77</f>
        <v>7806773.37</v>
      </c>
    </row>
    <row r="77" spans="1:7" ht="102">
      <c r="A77" s="55" t="s">
        <v>114</v>
      </c>
      <c r="B77" s="56" t="s">
        <v>6</v>
      </c>
      <c r="C77" s="102">
        <v>6990645.82</v>
      </c>
      <c r="D77" s="54">
        <f>E77-C77</f>
        <v>0</v>
      </c>
      <c r="E77" s="102">
        <v>6990645.82</v>
      </c>
      <c r="F77" s="54">
        <f>G77-E77</f>
        <v>816127.5499999998</v>
      </c>
      <c r="G77" s="102">
        <f>6990645.82+816127.55</f>
        <v>7806773.37</v>
      </c>
    </row>
    <row r="78" spans="1:7" s="47" customFormat="1" ht="16.5" customHeight="1">
      <c r="A78" s="45" t="s">
        <v>115</v>
      </c>
      <c r="B78" s="86" t="s">
        <v>116</v>
      </c>
      <c r="C78" s="99">
        <f>C79+C108+C110+C115+C119</f>
        <v>3926551.04</v>
      </c>
      <c r="D78" s="49">
        <f>D79+D108+D110+D115+D119</f>
        <v>0</v>
      </c>
      <c r="E78" s="99">
        <f>E79+E108+E110+E115+E119</f>
        <v>3926551.04</v>
      </c>
      <c r="F78" s="49">
        <f>F79+F108+F110+F115+F119</f>
        <v>-678569.8900000006</v>
      </c>
      <c r="G78" s="99">
        <f>G79+G108+G110+G115+G119</f>
        <v>3247981.1499999994</v>
      </c>
    </row>
    <row r="79" spans="1:7" ht="51">
      <c r="A79" s="38" t="s">
        <v>257</v>
      </c>
      <c r="B79" s="32" t="s">
        <v>352</v>
      </c>
      <c r="C79" s="101">
        <f>C80+C82+C106+C84+C95+C97+C103+C99+C93+C87+C89+C101+C91</f>
        <v>818530</v>
      </c>
      <c r="D79" s="70">
        <f>D80+D82+D106+D84+D95+D97+D103+D99+D93+D87+D89+D101+D91</f>
        <v>0</v>
      </c>
      <c r="E79" s="101">
        <f>E80+E82+E106+E84+E95+E97+E103+E99+E93+E87+E89+E101+E91</f>
        <v>818530</v>
      </c>
      <c r="F79" s="70">
        <f>F80+F82+F106+F84+F95+F97+F103+F99+F93+F87+F89+F101+F91</f>
        <v>-107634.48000000001</v>
      </c>
      <c r="G79" s="101">
        <f>G80+G82+G106+G84+G95+G97+G103+G99+G93+G87+G89+G101+G91</f>
        <v>710895.52</v>
      </c>
    </row>
    <row r="80" spans="1:7" ht="63.75">
      <c r="A80" s="39" t="s">
        <v>258</v>
      </c>
      <c r="B80" s="33" t="s">
        <v>262</v>
      </c>
      <c r="C80" s="102">
        <f>C81</f>
        <v>63670</v>
      </c>
      <c r="D80" s="70">
        <f>D81</f>
        <v>0</v>
      </c>
      <c r="E80" s="102">
        <f>E81</f>
        <v>63670</v>
      </c>
      <c r="F80" s="70">
        <f>F81</f>
        <v>103881.29999999999</v>
      </c>
      <c r="G80" s="102">
        <f>G81</f>
        <v>167551.3</v>
      </c>
    </row>
    <row r="81" spans="1:7" ht="89.25">
      <c r="A81" s="39" t="s">
        <v>259</v>
      </c>
      <c r="B81" s="33" t="s">
        <v>263</v>
      </c>
      <c r="C81" s="102">
        <v>63670</v>
      </c>
      <c r="D81" s="70">
        <f>E81-C81</f>
        <v>0</v>
      </c>
      <c r="E81" s="102">
        <v>63670</v>
      </c>
      <c r="F81" s="70">
        <f>G81-E81</f>
        <v>103881.29999999999</v>
      </c>
      <c r="G81" s="102">
        <f>55780+4290+3600+103881.3</f>
        <v>167551.3</v>
      </c>
    </row>
    <row r="82" spans="1:7" ht="89.25">
      <c r="A82" s="39" t="s">
        <v>260</v>
      </c>
      <c r="B82" s="33" t="s">
        <v>264</v>
      </c>
      <c r="C82" s="102">
        <f>C83</f>
        <v>15800</v>
      </c>
      <c r="D82" s="70">
        <f>D83</f>
        <v>2700</v>
      </c>
      <c r="E82" s="102">
        <f>E83</f>
        <v>18500</v>
      </c>
      <c r="F82" s="70">
        <f>F83</f>
        <v>55362.95</v>
      </c>
      <c r="G82" s="102">
        <f>G83</f>
        <v>73862.95</v>
      </c>
    </row>
    <row r="83" spans="1:7" ht="127.5">
      <c r="A83" s="39" t="s">
        <v>261</v>
      </c>
      <c r="B83" s="33" t="s">
        <v>265</v>
      </c>
      <c r="C83" s="102">
        <v>15800</v>
      </c>
      <c r="D83" s="70">
        <f>E83-C83</f>
        <v>2700</v>
      </c>
      <c r="E83" s="102">
        <v>18500</v>
      </c>
      <c r="F83" s="70">
        <f>G83-E83</f>
        <v>55362.95</v>
      </c>
      <c r="G83" s="102">
        <f>3430+4110+8260+2700+55362.95</f>
        <v>73862.95</v>
      </c>
    </row>
    <row r="84" spans="1:7" ht="63.75">
      <c r="A84" s="39" t="s">
        <v>304</v>
      </c>
      <c r="B84" s="33" t="s">
        <v>306</v>
      </c>
      <c r="C84" s="102">
        <f>C85+C86</f>
        <v>61390</v>
      </c>
      <c r="D84" s="70">
        <f>D85+D86</f>
        <v>2041</v>
      </c>
      <c r="E84" s="102">
        <f>E85+E86</f>
        <v>63431</v>
      </c>
      <c r="F84" s="70">
        <f>F85+F86</f>
        <v>-35974.01</v>
      </c>
      <c r="G84" s="102">
        <f>G85+G86</f>
        <v>27456.989999999998</v>
      </c>
    </row>
    <row r="85" spans="1:7" ht="89.25">
      <c r="A85" s="39" t="s">
        <v>305</v>
      </c>
      <c r="B85" s="33" t="s">
        <v>307</v>
      </c>
      <c r="C85" s="102">
        <v>1390</v>
      </c>
      <c r="D85" s="70">
        <f>E85-C85</f>
        <v>2041</v>
      </c>
      <c r="E85" s="102">
        <v>3431</v>
      </c>
      <c r="F85" s="70">
        <f>G85-E85</f>
        <v>4025.99</v>
      </c>
      <c r="G85" s="102">
        <f>260+130+1000+1110+931+4025.99</f>
        <v>7456.99</v>
      </c>
    </row>
    <row r="86" spans="1:7" ht="89.25">
      <c r="A86" s="39" t="s">
        <v>362</v>
      </c>
      <c r="B86" s="33" t="s">
        <v>363</v>
      </c>
      <c r="C86" s="102">
        <v>60000</v>
      </c>
      <c r="D86" s="70">
        <f>E86-C86</f>
        <v>0</v>
      </c>
      <c r="E86" s="102">
        <v>60000</v>
      </c>
      <c r="F86" s="70">
        <f>G86-E86</f>
        <v>-40000</v>
      </c>
      <c r="G86" s="102">
        <f>60000-40000</f>
        <v>20000</v>
      </c>
    </row>
    <row r="87" spans="1:7" ht="76.5">
      <c r="A87" s="39" t="s">
        <v>308</v>
      </c>
      <c r="B87" s="33" t="s">
        <v>310</v>
      </c>
      <c r="C87" s="102">
        <f>C88</f>
        <v>4050</v>
      </c>
      <c r="D87" s="70">
        <f>D88</f>
        <v>0</v>
      </c>
      <c r="E87" s="102">
        <f>E88</f>
        <v>4050</v>
      </c>
      <c r="F87" s="70">
        <f>F88</f>
        <v>17500</v>
      </c>
      <c r="G87" s="102">
        <f>G88</f>
        <v>21550</v>
      </c>
    </row>
    <row r="88" spans="1:7" ht="102">
      <c r="A88" s="39" t="s">
        <v>309</v>
      </c>
      <c r="B88" s="33" t="s">
        <v>311</v>
      </c>
      <c r="C88" s="102">
        <v>4050</v>
      </c>
      <c r="D88" s="70">
        <f>E88-C88</f>
        <v>0</v>
      </c>
      <c r="E88" s="102">
        <v>4050</v>
      </c>
      <c r="F88" s="70">
        <f>G88-E88</f>
        <v>17500</v>
      </c>
      <c r="G88" s="102">
        <f>4050+17500</f>
        <v>21550</v>
      </c>
    </row>
    <row r="89" spans="1:7" ht="76.5">
      <c r="A89" s="39" t="s">
        <v>312</v>
      </c>
      <c r="B89" s="33" t="s">
        <v>314</v>
      </c>
      <c r="C89" s="102">
        <f>C90</f>
        <v>6320</v>
      </c>
      <c r="D89" s="70">
        <f>D90</f>
        <v>0</v>
      </c>
      <c r="E89" s="102">
        <f>E90</f>
        <v>6320</v>
      </c>
      <c r="F89" s="70">
        <f>F90</f>
        <v>-6320</v>
      </c>
      <c r="G89" s="102">
        <f>G90</f>
        <v>0</v>
      </c>
    </row>
    <row r="90" spans="1:7" ht="102">
      <c r="A90" s="39" t="s">
        <v>313</v>
      </c>
      <c r="B90" s="33" t="s">
        <v>315</v>
      </c>
      <c r="C90" s="102">
        <v>6320</v>
      </c>
      <c r="D90" s="70">
        <f>E90-C90</f>
        <v>0</v>
      </c>
      <c r="E90" s="102">
        <v>6320</v>
      </c>
      <c r="F90" s="70">
        <f>G90-E90</f>
        <v>-6320</v>
      </c>
      <c r="G90" s="102">
        <f>6320-6320</f>
        <v>0</v>
      </c>
    </row>
    <row r="91" spans="1:7" ht="76.5">
      <c r="A91" s="39" t="s">
        <v>383</v>
      </c>
      <c r="B91" s="33" t="s">
        <v>384</v>
      </c>
      <c r="C91" s="102">
        <f>C92</f>
        <v>0</v>
      </c>
      <c r="D91" s="70">
        <f>D92</f>
        <v>0</v>
      </c>
      <c r="E91" s="102">
        <f>E92</f>
        <v>0</v>
      </c>
      <c r="F91" s="70">
        <f>F92</f>
        <v>1500</v>
      </c>
      <c r="G91" s="102">
        <f>G92</f>
        <v>1500</v>
      </c>
    </row>
    <row r="92" spans="1:7" ht="102">
      <c r="A92" s="39" t="s">
        <v>385</v>
      </c>
      <c r="B92" s="33" t="s">
        <v>386</v>
      </c>
      <c r="C92" s="102">
        <v>0</v>
      </c>
      <c r="D92" s="70">
        <f>E92-C92</f>
        <v>0</v>
      </c>
      <c r="E92" s="102">
        <v>0</v>
      </c>
      <c r="F92" s="70">
        <f>G92-E92</f>
        <v>1500</v>
      </c>
      <c r="G92" s="102">
        <v>1500</v>
      </c>
    </row>
    <row r="93" spans="1:7" ht="63.75">
      <c r="A93" s="39" t="s">
        <v>364</v>
      </c>
      <c r="B93" s="33" t="s">
        <v>366</v>
      </c>
      <c r="C93" s="102">
        <f>C94</f>
        <v>950</v>
      </c>
      <c r="D93" s="70">
        <f>D94</f>
        <v>0</v>
      </c>
      <c r="E93" s="102">
        <f>E94</f>
        <v>950</v>
      </c>
      <c r="F93" s="70">
        <f>F94</f>
        <v>-950</v>
      </c>
      <c r="G93" s="102">
        <f>G94</f>
        <v>0</v>
      </c>
    </row>
    <row r="94" spans="1:7" ht="89.25">
      <c r="A94" s="39" t="s">
        <v>365</v>
      </c>
      <c r="B94" s="33" t="s">
        <v>367</v>
      </c>
      <c r="C94" s="102">
        <v>950</v>
      </c>
      <c r="D94" s="70">
        <f>E94-C94</f>
        <v>0</v>
      </c>
      <c r="E94" s="102">
        <v>950</v>
      </c>
      <c r="F94" s="70">
        <f>G94-E94</f>
        <v>-950</v>
      </c>
      <c r="G94" s="102">
        <f>950-950</f>
        <v>0</v>
      </c>
    </row>
    <row r="95" spans="1:7" ht="89.25">
      <c r="A95" s="39" t="s">
        <v>316</v>
      </c>
      <c r="B95" s="33" t="s">
        <v>318</v>
      </c>
      <c r="C95" s="102">
        <f>C96</f>
        <v>163160</v>
      </c>
      <c r="D95" s="70">
        <f>D96</f>
        <v>0</v>
      </c>
      <c r="E95" s="102">
        <f>E96</f>
        <v>163160</v>
      </c>
      <c r="F95" s="70">
        <f>F96</f>
        <v>-158160</v>
      </c>
      <c r="G95" s="102">
        <f>G96</f>
        <v>5000</v>
      </c>
    </row>
    <row r="96" spans="1:7" ht="114.75">
      <c r="A96" s="39" t="s">
        <v>317</v>
      </c>
      <c r="B96" s="33" t="s">
        <v>319</v>
      </c>
      <c r="C96" s="102">
        <v>163160</v>
      </c>
      <c r="D96" s="76">
        <f>E96-C96</f>
        <v>0</v>
      </c>
      <c r="E96" s="102">
        <v>163160</v>
      </c>
      <c r="F96" s="76">
        <f>G96-E96</f>
        <v>-158160</v>
      </c>
      <c r="G96" s="102">
        <f>88720+31580+42860-158160</f>
        <v>5000</v>
      </c>
    </row>
    <row r="97" spans="1:7" ht="76.5">
      <c r="A97" s="39" t="s">
        <v>320</v>
      </c>
      <c r="B97" s="33" t="s">
        <v>322</v>
      </c>
      <c r="C97" s="102">
        <f>C98</f>
        <v>6200</v>
      </c>
      <c r="D97" s="70">
        <f>D98</f>
        <v>0</v>
      </c>
      <c r="E97" s="102">
        <f>E98</f>
        <v>6200</v>
      </c>
      <c r="F97" s="70">
        <f>F98</f>
        <v>-5400</v>
      </c>
      <c r="G97" s="102">
        <f>G98</f>
        <v>800</v>
      </c>
    </row>
    <row r="98" spans="1:7" ht="140.25">
      <c r="A98" s="39" t="s">
        <v>321</v>
      </c>
      <c r="B98" s="33" t="s">
        <v>323</v>
      </c>
      <c r="C98" s="102">
        <v>6200</v>
      </c>
      <c r="D98" s="70">
        <f>E98-C98</f>
        <v>0</v>
      </c>
      <c r="E98" s="102">
        <v>6200</v>
      </c>
      <c r="F98" s="70">
        <f>G98-E98</f>
        <v>-5400</v>
      </c>
      <c r="G98" s="102">
        <f>30+380+5790-5400</f>
        <v>800</v>
      </c>
    </row>
    <row r="99" spans="1:7" ht="76.5">
      <c r="A99" s="39" t="s">
        <v>324</v>
      </c>
      <c r="B99" s="33" t="s">
        <v>326</v>
      </c>
      <c r="C99" s="102">
        <f>C100</f>
        <v>5190</v>
      </c>
      <c r="D99" s="70">
        <f>D100</f>
        <v>0</v>
      </c>
      <c r="E99" s="102">
        <f>E100</f>
        <v>5190</v>
      </c>
      <c r="F99" s="70">
        <f>F100</f>
        <v>6000</v>
      </c>
      <c r="G99" s="102">
        <f>G100</f>
        <v>11190</v>
      </c>
    </row>
    <row r="100" spans="1:7" ht="102">
      <c r="A100" s="39" t="s">
        <v>325</v>
      </c>
      <c r="B100" s="33" t="s">
        <v>327</v>
      </c>
      <c r="C100" s="102">
        <v>5190</v>
      </c>
      <c r="D100" s="70">
        <f>E100-C100</f>
        <v>0</v>
      </c>
      <c r="E100" s="102">
        <v>5190</v>
      </c>
      <c r="F100" s="70">
        <f>G100-E100</f>
        <v>6000</v>
      </c>
      <c r="G100" s="102">
        <f>4320+870+6000</f>
        <v>11190</v>
      </c>
    </row>
    <row r="101" spans="1:7" ht="114.75">
      <c r="A101" s="39" t="s">
        <v>328</v>
      </c>
      <c r="B101" s="33" t="s">
        <v>330</v>
      </c>
      <c r="C101" s="102">
        <f>C102</f>
        <v>320</v>
      </c>
      <c r="D101" s="70">
        <f>D102</f>
        <v>0</v>
      </c>
      <c r="E101" s="102">
        <f>E102</f>
        <v>320</v>
      </c>
      <c r="F101" s="70">
        <f>F102</f>
        <v>-320</v>
      </c>
      <c r="G101" s="102">
        <f>G102</f>
        <v>0</v>
      </c>
    </row>
    <row r="102" spans="1:7" ht="140.25">
      <c r="A102" s="39" t="s">
        <v>329</v>
      </c>
      <c r="B102" s="33" t="s">
        <v>331</v>
      </c>
      <c r="C102" s="102">
        <v>320</v>
      </c>
      <c r="D102" s="70">
        <f>E102-C102</f>
        <v>0</v>
      </c>
      <c r="E102" s="102">
        <v>320</v>
      </c>
      <c r="F102" s="70">
        <f>G102-E102</f>
        <v>-320</v>
      </c>
      <c r="G102" s="102">
        <f>320-320</f>
        <v>0</v>
      </c>
    </row>
    <row r="103" spans="1:7" ht="63.75">
      <c r="A103" s="39" t="s">
        <v>332</v>
      </c>
      <c r="B103" s="33" t="s">
        <v>335</v>
      </c>
      <c r="C103" s="102">
        <f>C104+C105</f>
        <v>338710</v>
      </c>
      <c r="D103" s="70">
        <f>D104+D105</f>
        <v>-4741</v>
      </c>
      <c r="E103" s="102">
        <f>E104+E105</f>
        <v>333969</v>
      </c>
      <c r="F103" s="70">
        <f>F104+F105</f>
        <v>-183969</v>
      </c>
      <c r="G103" s="102">
        <f>G104+G105</f>
        <v>150000</v>
      </c>
    </row>
    <row r="104" spans="1:7" ht="89.25">
      <c r="A104" s="39" t="s">
        <v>333</v>
      </c>
      <c r="B104" s="33" t="s">
        <v>336</v>
      </c>
      <c r="C104" s="102">
        <v>338010</v>
      </c>
      <c r="D104" s="70">
        <f>E104-C104</f>
        <v>-4741</v>
      </c>
      <c r="E104" s="102">
        <v>333269</v>
      </c>
      <c r="F104" s="70">
        <f>G104-E104</f>
        <v>-183269</v>
      </c>
      <c r="G104" s="102">
        <f>112290+950+640+17150+3160+203820-4741-183269</f>
        <v>150000</v>
      </c>
    </row>
    <row r="105" spans="1:7" ht="89.25">
      <c r="A105" s="39" t="s">
        <v>334</v>
      </c>
      <c r="B105" s="33" t="s">
        <v>337</v>
      </c>
      <c r="C105" s="102">
        <v>700</v>
      </c>
      <c r="D105" s="70">
        <f>E105-C105</f>
        <v>0</v>
      </c>
      <c r="E105" s="102">
        <v>700</v>
      </c>
      <c r="F105" s="70">
        <f>G105-E105</f>
        <v>-700</v>
      </c>
      <c r="G105" s="102">
        <f>700-700</f>
        <v>0</v>
      </c>
    </row>
    <row r="106" spans="1:7" ht="76.5">
      <c r="A106" s="39" t="s">
        <v>266</v>
      </c>
      <c r="B106" s="33" t="s">
        <v>268</v>
      </c>
      <c r="C106" s="102">
        <f>C107</f>
        <v>152770</v>
      </c>
      <c r="D106" s="70">
        <f>D107</f>
        <v>0</v>
      </c>
      <c r="E106" s="102">
        <f>E107</f>
        <v>152770</v>
      </c>
      <c r="F106" s="70">
        <f>F107</f>
        <v>99214.28</v>
      </c>
      <c r="G106" s="102">
        <f>G107</f>
        <v>251984.28</v>
      </c>
    </row>
    <row r="107" spans="1:7" ht="102">
      <c r="A107" s="39" t="s">
        <v>267</v>
      </c>
      <c r="B107" s="33" t="s">
        <v>269</v>
      </c>
      <c r="C107" s="102">
        <v>152770</v>
      </c>
      <c r="D107" s="70">
        <f>E107-C107</f>
        <v>0</v>
      </c>
      <c r="E107" s="102">
        <v>152770</v>
      </c>
      <c r="F107" s="70">
        <f>G107-E107</f>
        <v>99214.28</v>
      </c>
      <c r="G107" s="102">
        <f>3160+8580+2850+138180+99214.28</f>
        <v>251984.28</v>
      </c>
    </row>
    <row r="108" spans="1:7" ht="51">
      <c r="A108" s="38" t="s">
        <v>348</v>
      </c>
      <c r="B108" s="32" t="s">
        <v>349</v>
      </c>
      <c r="C108" s="101">
        <f>C109</f>
        <v>320000</v>
      </c>
      <c r="D108" s="70">
        <f>D109</f>
        <v>0</v>
      </c>
      <c r="E108" s="101">
        <f>E109</f>
        <v>320000</v>
      </c>
      <c r="F108" s="70">
        <f>F109</f>
        <v>114319.25</v>
      </c>
      <c r="G108" s="101">
        <f>G109</f>
        <v>434319.25</v>
      </c>
    </row>
    <row r="109" spans="1:7" ht="51">
      <c r="A109" s="39" t="s">
        <v>350</v>
      </c>
      <c r="B109" s="33" t="s">
        <v>351</v>
      </c>
      <c r="C109" s="102">
        <v>320000</v>
      </c>
      <c r="D109" s="70">
        <f>E109-C109</f>
        <v>0</v>
      </c>
      <c r="E109" s="102">
        <v>320000</v>
      </c>
      <c r="F109" s="70">
        <f>G109-E109</f>
        <v>114319.25</v>
      </c>
      <c r="G109" s="102">
        <f>320000+114319.25</f>
        <v>434319.25</v>
      </c>
    </row>
    <row r="110" spans="1:7" ht="140.25">
      <c r="A110" s="38" t="s">
        <v>342</v>
      </c>
      <c r="B110" s="32" t="s">
        <v>343</v>
      </c>
      <c r="C110" s="101">
        <f>C113+C111</f>
        <v>249014.91999999998</v>
      </c>
      <c r="D110" s="70">
        <f>D113+D111</f>
        <v>0</v>
      </c>
      <c r="E110" s="101">
        <f>E113+E111</f>
        <v>249014.91999999998</v>
      </c>
      <c r="F110" s="70">
        <f>F113+F111</f>
        <v>1473931.79</v>
      </c>
      <c r="G110" s="101">
        <f>G113+G111</f>
        <v>1722946.71</v>
      </c>
    </row>
    <row r="111" spans="1:7" ht="63.75">
      <c r="A111" s="39" t="s">
        <v>338</v>
      </c>
      <c r="B111" s="33" t="s">
        <v>340</v>
      </c>
      <c r="C111" s="102">
        <f>C112</f>
        <v>125000</v>
      </c>
      <c r="D111" s="70">
        <f>D112</f>
        <v>0</v>
      </c>
      <c r="E111" s="102">
        <f>E112</f>
        <v>125000</v>
      </c>
      <c r="F111" s="70">
        <f>F112</f>
        <v>350000</v>
      </c>
      <c r="G111" s="102">
        <f>G112</f>
        <v>475000</v>
      </c>
    </row>
    <row r="112" spans="1:7" ht="89.25">
      <c r="A112" s="39" t="s">
        <v>339</v>
      </c>
      <c r="B112" s="33" t="s">
        <v>341</v>
      </c>
      <c r="C112" s="102">
        <v>125000</v>
      </c>
      <c r="D112" s="70">
        <f>E112-C112</f>
        <v>0</v>
      </c>
      <c r="E112" s="102">
        <v>125000</v>
      </c>
      <c r="F112" s="70">
        <f>G112-E112</f>
        <v>350000</v>
      </c>
      <c r="G112" s="102">
        <f>125000+350000</f>
        <v>475000</v>
      </c>
    </row>
    <row r="113" spans="1:7" ht="102">
      <c r="A113" s="39" t="s">
        <v>270</v>
      </c>
      <c r="B113" s="33" t="s">
        <v>275</v>
      </c>
      <c r="C113" s="102">
        <f>C114</f>
        <v>124014.92</v>
      </c>
      <c r="D113" s="70">
        <f>D114</f>
        <v>0</v>
      </c>
      <c r="E113" s="102">
        <f>E114</f>
        <v>124014.92</v>
      </c>
      <c r="F113" s="70">
        <f>F114</f>
        <v>1123931.79</v>
      </c>
      <c r="G113" s="102">
        <f>G114</f>
        <v>1247946.71</v>
      </c>
    </row>
    <row r="114" spans="1:7" ht="76.5">
      <c r="A114" s="39" t="s">
        <v>271</v>
      </c>
      <c r="B114" s="33" t="s">
        <v>276</v>
      </c>
      <c r="C114" s="102">
        <v>124014.92</v>
      </c>
      <c r="D114" s="70">
        <f>E114-C114</f>
        <v>0</v>
      </c>
      <c r="E114" s="102">
        <v>124014.92</v>
      </c>
      <c r="F114" s="70">
        <f>G114-E114</f>
        <v>1123931.79</v>
      </c>
      <c r="G114" s="102">
        <f>112014.92+12000+1123931.79</f>
        <v>1247946.71</v>
      </c>
    </row>
    <row r="115" spans="1:7" ht="25.5">
      <c r="A115" s="38" t="s">
        <v>272</v>
      </c>
      <c r="B115" s="32" t="s">
        <v>277</v>
      </c>
      <c r="C115" s="101">
        <f>C116</f>
        <v>2539006.12</v>
      </c>
      <c r="D115" s="70">
        <f>D116</f>
        <v>0</v>
      </c>
      <c r="E115" s="101">
        <f>E116</f>
        <v>2539006.12</v>
      </c>
      <c r="F115" s="70">
        <f>F116</f>
        <v>-2250254.9900000007</v>
      </c>
      <c r="G115" s="101">
        <f>G116</f>
        <v>288751.12999999966</v>
      </c>
    </row>
    <row r="116" spans="1:7" ht="89.25">
      <c r="A116" s="39" t="s">
        <v>273</v>
      </c>
      <c r="B116" s="33" t="s">
        <v>278</v>
      </c>
      <c r="C116" s="102">
        <f>C117+C118</f>
        <v>2539006.12</v>
      </c>
      <c r="D116" s="70">
        <f>D117+D118</f>
        <v>0</v>
      </c>
      <c r="E116" s="102">
        <f>E117+E118</f>
        <v>2539006.12</v>
      </c>
      <c r="F116" s="70">
        <f>F117+F118</f>
        <v>-2250254.9900000007</v>
      </c>
      <c r="G116" s="102">
        <f>G117+G118</f>
        <v>288751.12999999966</v>
      </c>
    </row>
    <row r="117" spans="1:7" ht="89.25">
      <c r="A117" s="39" t="s">
        <v>274</v>
      </c>
      <c r="B117" s="33" t="s">
        <v>279</v>
      </c>
      <c r="C117" s="102">
        <v>2533606.12</v>
      </c>
      <c r="D117" s="70">
        <f>E117-C117</f>
        <v>0</v>
      </c>
      <c r="E117" s="102">
        <v>2533606.12</v>
      </c>
      <c r="F117" s="70">
        <f>G117-E117</f>
        <v>-2251000.0000000005</v>
      </c>
      <c r="G117" s="102">
        <f>2477908.09+55698.03-2251000</f>
        <v>282606.11999999965</v>
      </c>
    </row>
    <row r="118" spans="1:7" ht="89.25">
      <c r="A118" s="39" t="s">
        <v>344</v>
      </c>
      <c r="B118" s="33" t="s">
        <v>345</v>
      </c>
      <c r="C118" s="102">
        <v>5400</v>
      </c>
      <c r="D118" s="70">
        <f>E118-C118</f>
        <v>0</v>
      </c>
      <c r="E118" s="102">
        <v>5400</v>
      </c>
      <c r="F118" s="70">
        <f>G118-E118</f>
        <v>745.0100000000002</v>
      </c>
      <c r="G118" s="102">
        <f>5400+745.01</f>
        <v>6145.01</v>
      </c>
    </row>
    <row r="119" spans="1:7" ht="25.5">
      <c r="A119" s="38" t="s">
        <v>387</v>
      </c>
      <c r="B119" s="32" t="s">
        <v>388</v>
      </c>
      <c r="C119" s="101">
        <f>C120</f>
        <v>0</v>
      </c>
      <c r="D119" s="70">
        <f>D120</f>
        <v>0</v>
      </c>
      <c r="E119" s="101">
        <f>E120</f>
        <v>0</v>
      </c>
      <c r="F119" s="70">
        <f>F120</f>
        <v>91068.54</v>
      </c>
      <c r="G119" s="101">
        <f>G120</f>
        <v>91068.54</v>
      </c>
    </row>
    <row r="120" spans="1:7" ht="127.5">
      <c r="A120" s="39" t="s">
        <v>389</v>
      </c>
      <c r="B120" s="33" t="s">
        <v>390</v>
      </c>
      <c r="C120" s="102">
        <v>0</v>
      </c>
      <c r="D120" s="70">
        <f>E120-C120</f>
        <v>0</v>
      </c>
      <c r="E120" s="102">
        <v>0</v>
      </c>
      <c r="F120" s="70">
        <f>G120-E120</f>
        <v>91068.54</v>
      </c>
      <c r="G120" s="102">
        <v>91068.54</v>
      </c>
    </row>
    <row r="121" spans="1:7" s="47" customFormat="1" ht="15.75" customHeight="1">
      <c r="A121" s="50" t="s">
        <v>391</v>
      </c>
      <c r="B121" s="85" t="s">
        <v>392</v>
      </c>
      <c r="C121" s="99">
        <f aca="true" t="shared" si="5" ref="C121:F122">C122</f>
        <v>0</v>
      </c>
      <c r="D121" s="82">
        <f t="shared" si="5"/>
        <v>429600</v>
      </c>
      <c r="E121" s="99">
        <f t="shared" si="5"/>
        <v>429600</v>
      </c>
      <c r="F121" s="82">
        <f t="shared" si="5"/>
        <v>0</v>
      </c>
      <c r="G121" s="99">
        <f>G122</f>
        <v>429600</v>
      </c>
    </row>
    <row r="122" spans="1:7" ht="12.75">
      <c r="A122" s="71" t="s">
        <v>393</v>
      </c>
      <c r="B122" s="32" t="s">
        <v>394</v>
      </c>
      <c r="C122" s="101">
        <f t="shared" si="5"/>
        <v>0</v>
      </c>
      <c r="D122" s="70">
        <f t="shared" si="5"/>
        <v>429600</v>
      </c>
      <c r="E122" s="101">
        <f t="shared" si="5"/>
        <v>429600</v>
      </c>
      <c r="F122" s="70">
        <f t="shared" si="5"/>
        <v>0</v>
      </c>
      <c r="G122" s="101">
        <f>G123</f>
        <v>429600</v>
      </c>
    </row>
    <row r="123" spans="1:7" ht="25.5">
      <c r="A123" s="57" t="s">
        <v>395</v>
      </c>
      <c r="B123" s="33" t="s">
        <v>396</v>
      </c>
      <c r="C123" s="102">
        <v>0</v>
      </c>
      <c r="D123" s="70">
        <f>E123-C123</f>
        <v>429600</v>
      </c>
      <c r="E123" s="102">
        <v>429600</v>
      </c>
      <c r="F123" s="70">
        <f>G123-E123</f>
        <v>0</v>
      </c>
      <c r="G123" s="102">
        <v>429600</v>
      </c>
    </row>
    <row r="124" spans="1:7" s="47" customFormat="1" ht="13.5">
      <c r="A124" s="45" t="s">
        <v>118</v>
      </c>
      <c r="B124" s="87" t="s">
        <v>119</v>
      </c>
      <c r="C124" s="99">
        <f>C125</f>
        <v>2591934439.75</v>
      </c>
      <c r="D124" s="49">
        <f>D125</f>
        <v>78087167.64999995</v>
      </c>
      <c r="E124" s="99">
        <f>E125</f>
        <v>2670021607.3999996</v>
      </c>
      <c r="F124" s="49">
        <f>F125</f>
        <v>153258098.24000013</v>
      </c>
      <c r="G124" s="99">
        <f>G125</f>
        <v>2823279705.6400003</v>
      </c>
    </row>
    <row r="125" spans="1:7" s="47" customFormat="1" ht="38.25">
      <c r="A125" s="45" t="s">
        <v>120</v>
      </c>
      <c r="B125" s="46" t="s">
        <v>121</v>
      </c>
      <c r="C125" s="100">
        <f>C126+C133+C148+C161</f>
        <v>2591934439.75</v>
      </c>
      <c r="D125" s="49">
        <f>D126+D133+D148+D161</f>
        <v>78087167.64999995</v>
      </c>
      <c r="E125" s="100">
        <f>E126+E133+E148+E161</f>
        <v>2670021607.3999996</v>
      </c>
      <c r="F125" s="49">
        <f>F126+F133+F148+F161</f>
        <v>153258098.24000013</v>
      </c>
      <c r="G125" s="100">
        <f>G126+G133+G148+G161</f>
        <v>2823279705.6400003</v>
      </c>
    </row>
    <row r="126" spans="1:7" s="47" customFormat="1" ht="25.5">
      <c r="A126" s="45" t="s">
        <v>397</v>
      </c>
      <c r="B126" s="46" t="s">
        <v>398</v>
      </c>
      <c r="C126" s="99">
        <f>C127+C131+C129</f>
        <v>784040599</v>
      </c>
      <c r="D126" s="118">
        <f>D127+D131+D129</f>
        <v>0</v>
      </c>
      <c r="E126" s="99">
        <f>E127+E131+E129</f>
        <v>784040599</v>
      </c>
      <c r="F126" s="118">
        <f>F127+F131+F129</f>
        <v>16388137</v>
      </c>
      <c r="G126" s="99">
        <f>G127+G131+G129</f>
        <v>800428736</v>
      </c>
    </row>
    <row r="127" spans="1:7" ht="25.5">
      <c r="A127" s="72" t="s">
        <v>399</v>
      </c>
      <c r="B127" s="73" t="s">
        <v>122</v>
      </c>
      <c r="C127" s="103">
        <f>C128</f>
        <v>114812828</v>
      </c>
      <c r="D127" s="74">
        <f>D128</f>
        <v>0</v>
      </c>
      <c r="E127" s="103">
        <f>E128</f>
        <v>114812828</v>
      </c>
      <c r="F127" s="74">
        <f>F128</f>
        <v>0</v>
      </c>
      <c r="G127" s="103">
        <f>G128</f>
        <v>114812828</v>
      </c>
    </row>
    <row r="128" spans="1:7" ht="25.5">
      <c r="A128" s="39" t="s">
        <v>400</v>
      </c>
      <c r="B128" s="33" t="s">
        <v>7</v>
      </c>
      <c r="C128" s="102">
        <v>114812828</v>
      </c>
      <c r="D128" s="70">
        <f>E128-C128</f>
        <v>0</v>
      </c>
      <c r="E128" s="102">
        <v>114812828</v>
      </c>
      <c r="F128" s="70">
        <f>G128-E128</f>
        <v>0</v>
      </c>
      <c r="G128" s="102">
        <v>114812828</v>
      </c>
    </row>
    <row r="129" spans="1:7" ht="38.25">
      <c r="A129" s="71" t="s">
        <v>401</v>
      </c>
      <c r="B129" s="75" t="s">
        <v>117</v>
      </c>
      <c r="C129" s="101">
        <f>C130</f>
        <v>21202771</v>
      </c>
      <c r="D129" s="76">
        <f>D130</f>
        <v>0</v>
      </c>
      <c r="E129" s="101">
        <f>E130</f>
        <v>21202771</v>
      </c>
      <c r="F129" s="76">
        <f>F130</f>
        <v>16388137</v>
      </c>
      <c r="G129" s="101">
        <f>G130</f>
        <v>37590908</v>
      </c>
    </row>
    <row r="130" spans="1:7" ht="38.25">
      <c r="A130" s="57" t="s">
        <v>402</v>
      </c>
      <c r="B130" s="58" t="s">
        <v>403</v>
      </c>
      <c r="C130" s="102">
        <v>21202771</v>
      </c>
      <c r="D130" s="76">
        <f>E130-C130</f>
        <v>0</v>
      </c>
      <c r="E130" s="102">
        <v>21202771</v>
      </c>
      <c r="F130" s="76">
        <f>G130-E130</f>
        <v>16388137</v>
      </c>
      <c r="G130" s="102">
        <f>21202771+16388137</f>
        <v>37590908</v>
      </c>
    </row>
    <row r="131" spans="1:7" ht="51">
      <c r="A131" s="38" t="s">
        <v>404</v>
      </c>
      <c r="B131" s="32" t="s">
        <v>123</v>
      </c>
      <c r="C131" s="101">
        <f>C132</f>
        <v>648025000</v>
      </c>
      <c r="D131" s="70">
        <f>D132</f>
        <v>0</v>
      </c>
      <c r="E131" s="101">
        <f>E132</f>
        <v>648025000</v>
      </c>
      <c r="F131" s="70">
        <f>F132</f>
        <v>0</v>
      </c>
      <c r="G131" s="101">
        <f>G132</f>
        <v>648025000</v>
      </c>
    </row>
    <row r="132" spans="1:7" ht="63.75">
      <c r="A132" s="39" t="s">
        <v>405</v>
      </c>
      <c r="B132" s="33" t="s">
        <v>8</v>
      </c>
      <c r="C132" s="102">
        <v>648025000</v>
      </c>
      <c r="D132" s="70">
        <f>E132-C132</f>
        <v>0</v>
      </c>
      <c r="E132" s="102">
        <v>648025000</v>
      </c>
      <c r="F132" s="70">
        <f>G132-E132</f>
        <v>0</v>
      </c>
      <c r="G132" s="102">
        <v>648025000</v>
      </c>
    </row>
    <row r="133" spans="1:7" s="47" customFormat="1" ht="38.25">
      <c r="A133" s="50" t="s">
        <v>233</v>
      </c>
      <c r="B133" s="85" t="s">
        <v>128</v>
      </c>
      <c r="C133" s="99">
        <f>C134+C136+C138+C140+C146+C144+C142</f>
        <v>418312110.6</v>
      </c>
      <c r="D133" s="118">
        <f>D134+D136+D138+D140+D146+D144+D142</f>
        <v>84342932.75999996</v>
      </c>
      <c r="E133" s="99">
        <f>E134+E136+E138+E140+E146+E144+E142</f>
        <v>502655043.35999995</v>
      </c>
      <c r="F133" s="118">
        <f>F134+F136+F138+F140+F146+F144+F142</f>
        <v>39455794.94000012</v>
      </c>
      <c r="G133" s="99">
        <f>G134+G136+G138+G140+G146+G144+G142</f>
        <v>542110838.3000001</v>
      </c>
    </row>
    <row r="134" spans="1:7" ht="38.25">
      <c r="A134" s="18" t="s">
        <v>280</v>
      </c>
      <c r="B134" s="19" t="s">
        <v>234</v>
      </c>
      <c r="C134" s="101">
        <f>C135</f>
        <v>6475000</v>
      </c>
      <c r="D134" s="76">
        <f>D135</f>
        <v>1520000</v>
      </c>
      <c r="E134" s="101">
        <f>E135</f>
        <v>7995000</v>
      </c>
      <c r="F134" s="76">
        <f>F135</f>
        <v>0</v>
      </c>
      <c r="G134" s="101">
        <f>G135</f>
        <v>7995000</v>
      </c>
    </row>
    <row r="135" spans="1:7" ht="38.25">
      <c r="A135" s="2" t="s">
        <v>281</v>
      </c>
      <c r="B135" s="20" t="s">
        <v>235</v>
      </c>
      <c r="C135" s="102">
        <v>6475000</v>
      </c>
      <c r="D135" s="76">
        <f>E135-C135</f>
        <v>1520000</v>
      </c>
      <c r="E135" s="102">
        <v>7995000</v>
      </c>
      <c r="F135" s="76">
        <f>G135-E135</f>
        <v>0</v>
      </c>
      <c r="G135" s="102">
        <f>6475000+1520000</f>
        <v>7995000</v>
      </c>
    </row>
    <row r="136" spans="1:7" ht="102">
      <c r="A136" s="77" t="s">
        <v>282</v>
      </c>
      <c r="B136" s="28" t="s">
        <v>284</v>
      </c>
      <c r="C136" s="104">
        <f>C137</f>
        <v>51988187.18</v>
      </c>
      <c r="D136" s="78">
        <f>D137</f>
        <v>0</v>
      </c>
      <c r="E136" s="104">
        <f>E137</f>
        <v>51988187.18</v>
      </c>
      <c r="F136" s="78">
        <f>F137</f>
        <v>0</v>
      </c>
      <c r="G136" s="104">
        <f>G137</f>
        <v>51988187.18</v>
      </c>
    </row>
    <row r="137" spans="1:7" ht="102">
      <c r="A137" s="64" t="s">
        <v>283</v>
      </c>
      <c r="B137" s="29" t="s">
        <v>285</v>
      </c>
      <c r="C137" s="105">
        <v>51988187.18</v>
      </c>
      <c r="D137" s="78">
        <f>E137-C137</f>
        <v>0</v>
      </c>
      <c r="E137" s="105">
        <v>51988187.18</v>
      </c>
      <c r="F137" s="78">
        <f>G137-E137</f>
        <v>0</v>
      </c>
      <c r="G137" s="105">
        <v>51988187.18</v>
      </c>
    </row>
    <row r="138" spans="1:7" ht="63.75">
      <c r="A138" s="77" t="s">
        <v>406</v>
      </c>
      <c r="B138" s="28" t="s">
        <v>407</v>
      </c>
      <c r="C138" s="104">
        <f>C139</f>
        <v>987207.45</v>
      </c>
      <c r="D138" s="78">
        <f>D139</f>
        <v>0</v>
      </c>
      <c r="E138" s="104">
        <f>E139</f>
        <v>987207.45</v>
      </c>
      <c r="F138" s="78">
        <f>F139</f>
        <v>0</v>
      </c>
      <c r="G138" s="104">
        <f>G139</f>
        <v>987207.45</v>
      </c>
    </row>
    <row r="139" spans="1:7" ht="63.75">
      <c r="A139" s="64" t="s">
        <v>408</v>
      </c>
      <c r="B139" s="31" t="s">
        <v>409</v>
      </c>
      <c r="C139" s="105">
        <v>987207.45</v>
      </c>
      <c r="D139" s="78">
        <f>E139-C139</f>
        <v>0</v>
      </c>
      <c r="E139" s="105">
        <v>987207.45</v>
      </c>
      <c r="F139" s="78">
        <f>G139-E139</f>
        <v>0</v>
      </c>
      <c r="G139" s="105">
        <v>987207.45</v>
      </c>
    </row>
    <row r="140" spans="1:7" ht="76.5">
      <c r="A140" s="77" t="s">
        <v>286</v>
      </c>
      <c r="B140" s="30" t="s">
        <v>288</v>
      </c>
      <c r="C140" s="104">
        <f>C141</f>
        <v>41725899</v>
      </c>
      <c r="D140" s="78">
        <f>D141</f>
        <v>620471</v>
      </c>
      <c r="E140" s="104">
        <f>E141</f>
        <v>42346370</v>
      </c>
      <c r="F140" s="78">
        <f>F141</f>
        <v>6539330</v>
      </c>
      <c r="G140" s="104">
        <f>G141</f>
        <v>48885700</v>
      </c>
    </row>
    <row r="141" spans="1:7" ht="76.5">
      <c r="A141" s="64" t="s">
        <v>287</v>
      </c>
      <c r="B141" s="31" t="s">
        <v>289</v>
      </c>
      <c r="C141" s="105">
        <v>41725899</v>
      </c>
      <c r="D141" s="78">
        <f>E141-C141</f>
        <v>620471</v>
      </c>
      <c r="E141" s="105">
        <v>42346370</v>
      </c>
      <c r="F141" s="78">
        <f>G141-E141</f>
        <v>6539330</v>
      </c>
      <c r="G141" s="105">
        <f>36390199+5335700+733071-112600+5425630+1113700</f>
        <v>48885700</v>
      </c>
    </row>
    <row r="142" spans="1:7" ht="89.25">
      <c r="A142" s="77" t="s">
        <v>410</v>
      </c>
      <c r="B142" s="19" t="s">
        <v>411</v>
      </c>
      <c r="C142" s="104">
        <f>C143</f>
        <v>0</v>
      </c>
      <c r="D142" s="78">
        <f>D143</f>
        <v>1263488.65</v>
      </c>
      <c r="E142" s="104">
        <f>E143</f>
        <v>1263488.65</v>
      </c>
      <c r="F142" s="78">
        <f>F143</f>
        <v>0</v>
      </c>
      <c r="G142" s="104">
        <f>G143</f>
        <v>1263488.65</v>
      </c>
    </row>
    <row r="143" spans="1:7" ht="89.25">
      <c r="A143" s="64" t="s">
        <v>412</v>
      </c>
      <c r="B143" s="21" t="s">
        <v>413</v>
      </c>
      <c r="C143" s="105">
        <v>0</v>
      </c>
      <c r="D143" s="78">
        <f>E143-C143</f>
        <v>1263488.65</v>
      </c>
      <c r="E143" s="105">
        <v>1263488.65</v>
      </c>
      <c r="F143" s="78">
        <f>G143-E143</f>
        <v>0</v>
      </c>
      <c r="G143" s="105">
        <v>1263488.65</v>
      </c>
    </row>
    <row r="144" spans="1:7" ht="38.25">
      <c r="A144" s="77" t="s">
        <v>414</v>
      </c>
      <c r="B144" s="19" t="s">
        <v>415</v>
      </c>
      <c r="C144" s="104">
        <f>C145</f>
        <v>0</v>
      </c>
      <c r="D144" s="78">
        <f>D145</f>
        <v>20331235</v>
      </c>
      <c r="E144" s="104">
        <f>E145</f>
        <v>20331235</v>
      </c>
      <c r="F144" s="78">
        <f>F145</f>
        <v>0</v>
      </c>
      <c r="G144" s="104">
        <f>G145</f>
        <v>20331235</v>
      </c>
    </row>
    <row r="145" spans="1:7" ht="38.25">
      <c r="A145" s="64" t="s">
        <v>416</v>
      </c>
      <c r="B145" s="21" t="s">
        <v>417</v>
      </c>
      <c r="C145" s="105">
        <v>0</v>
      </c>
      <c r="D145" s="78">
        <f>E145-C145</f>
        <v>20331235</v>
      </c>
      <c r="E145" s="105">
        <v>20331235</v>
      </c>
      <c r="F145" s="78">
        <f>G145-E145</f>
        <v>0</v>
      </c>
      <c r="G145" s="105">
        <v>20331235</v>
      </c>
    </row>
    <row r="146" spans="1:7" ht="12.75">
      <c r="A146" s="71" t="s">
        <v>236</v>
      </c>
      <c r="B146" s="79" t="s">
        <v>124</v>
      </c>
      <c r="C146" s="101">
        <f>C147</f>
        <v>317135816.97</v>
      </c>
      <c r="D146" s="76">
        <f>D147</f>
        <v>60607738.109999955</v>
      </c>
      <c r="E146" s="101">
        <f>E147</f>
        <v>377743555.08</v>
      </c>
      <c r="F146" s="76">
        <f>F147</f>
        <v>32916464.940000117</v>
      </c>
      <c r="G146" s="101">
        <f>G147</f>
        <v>410660020.0200001</v>
      </c>
    </row>
    <row r="147" spans="1:7" ht="25.5">
      <c r="A147" s="57" t="s">
        <v>237</v>
      </c>
      <c r="B147" s="68" t="s">
        <v>125</v>
      </c>
      <c r="C147" s="102">
        <v>317135816.97</v>
      </c>
      <c r="D147" s="76">
        <f>E147-C147</f>
        <v>60607738.109999955</v>
      </c>
      <c r="E147" s="102">
        <v>377743555.08</v>
      </c>
      <c r="F147" s="76">
        <f>G147-E147</f>
        <v>32916464.940000117</v>
      </c>
      <c r="G147" s="102">
        <f>1758700+3249340+9458273.34+4500000+7462703+24979806+13504492+228882.25+131429390+29165+1127700+25479345.7+25836950+7969835+9182415+40945489.38+1200650+10873533.3+2583833+7710200+29849000+3089793.3+7294058.81+7000000+1000000-1345300.95+16581900-15377.65-12000460.18+18890750+2331561.72+8473392</f>
        <v>410660020.0200001</v>
      </c>
    </row>
    <row r="148" spans="1:7" s="47" customFormat="1" ht="25.5">
      <c r="A148" s="45" t="s">
        <v>238</v>
      </c>
      <c r="B148" s="86" t="s">
        <v>239</v>
      </c>
      <c r="C148" s="99">
        <f>C151+C153+C159+C157+C155+C149</f>
        <v>1082787680.1499999</v>
      </c>
      <c r="D148" s="118">
        <f>D151+D153+D159+D157+D155+D149</f>
        <v>80809.81</v>
      </c>
      <c r="E148" s="99">
        <f>E151+E153+E159+E157+E155+E149</f>
        <v>1082868489.96</v>
      </c>
      <c r="F148" s="118">
        <f>F151+F153+F159+F157+F155+F149</f>
        <v>67919100</v>
      </c>
      <c r="G148" s="99">
        <f>G151+G153+G159+G157+G155+G149</f>
        <v>1150787589.9599998</v>
      </c>
    </row>
    <row r="149" spans="1:7" ht="38.25">
      <c r="A149" s="38" t="s">
        <v>290</v>
      </c>
      <c r="B149" s="32" t="s">
        <v>292</v>
      </c>
      <c r="C149" s="101">
        <f>C150</f>
        <v>43542237.1</v>
      </c>
      <c r="D149" s="70">
        <f>D150</f>
        <v>66411</v>
      </c>
      <c r="E149" s="101">
        <f>E150</f>
        <v>43608648.1</v>
      </c>
      <c r="F149" s="70">
        <f>F150</f>
        <v>507500</v>
      </c>
      <c r="G149" s="101">
        <f>G150</f>
        <v>44116148.1</v>
      </c>
    </row>
    <row r="150" spans="1:7" ht="38.25">
      <c r="A150" s="39" t="s">
        <v>291</v>
      </c>
      <c r="B150" s="33" t="s">
        <v>293</v>
      </c>
      <c r="C150" s="102">
        <v>43542237.1</v>
      </c>
      <c r="D150" s="76">
        <f>E150-C150</f>
        <v>66411</v>
      </c>
      <c r="E150" s="102">
        <v>43608648.1</v>
      </c>
      <c r="F150" s="76">
        <f>G150-E150</f>
        <v>507500</v>
      </c>
      <c r="G150" s="102">
        <f>2796154+9786539+240948+1223550+1885200+6000+13959500+1689900+30336+720400+2284100+305000+27300+8121487+46400+419423.1+66411+1182000-319400-202600-152500</f>
        <v>44116148.1</v>
      </c>
    </row>
    <row r="151" spans="1:7" ht="51">
      <c r="A151" s="38" t="s">
        <v>240</v>
      </c>
      <c r="B151" s="32" t="s">
        <v>131</v>
      </c>
      <c r="C151" s="101">
        <f>C152</f>
        <v>38873300</v>
      </c>
      <c r="D151" s="70">
        <f>D152</f>
        <v>0</v>
      </c>
      <c r="E151" s="101">
        <f>E152</f>
        <v>38873300</v>
      </c>
      <c r="F151" s="70">
        <f>F152</f>
        <v>983300</v>
      </c>
      <c r="G151" s="101">
        <f>G152</f>
        <v>39856600</v>
      </c>
    </row>
    <row r="152" spans="1:7" ht="51">
      <c r="A152" s="39" t="s">
        <v>241</v>
      </c>
      <c r="B152" s="33" t="s">
        <v>129</v>
      </c>
      <c r="C152" s="102">
        <v>38873300</v>
      </c>
      <c r="D152" s="70">
        <f>E152-C152</f>
        <v>0</v>
      </c>
      <c r="E152" s="102">
        <v>38873300</v>
      </c>
      <c r="F152" s="70">
        <f>G152-E152</f>
        <v>983300</v>
      </c>
      <c r="G152" s="102">
        <f>38873300+983300</f>
        <v>39856600</v>
      </c>
    </row>
    <row r="153" spans="1:7" ht="89.25">
      <c r="A153" s="38" t="s">
        <v>242</v>
      </c>
      <c r="B153" s="32" t="s">
        <v>132</v>
      </c>
      <c r="C153" s="101">
        <f>C154</f>
        <v>19209100</v>
      </c>
      <c r="D153" s="70">
        <f>D154</f>
        <v>0</v>
      </c>
      <c r="E153" s="101">
        <f>E154</f>
        <v>19209100</v>
      </c>
      <c r="F153" s="70">
        <f>F154</f>
        <v>0</v>
      </c>
      <c r="G153" s="101">
        <f>G154</f>
        <v>19209100</v>
      </c>
    </row>
    <row r="154" spans="1:7" ht="89.25">
      <c r="A154" s="39" t="s">
        <v>243</v>
      </c>
      <c r="B154" s="33" t="s">
        <v>130</v>
      </c>
      <c r="C154" s="102">
        <v>19209100</v>
      </c>
      <c r="D154" s="70">
        <f>E154-C154</f>
        <v>0</v>
      </c>
      <c r="E154" s="102">
        <v>19209100</v>
      </c>
      <c r="F154" s="70">
        <f>G154-E154</f>
        <v>0</v>
      </c>
      <c r="G154" s="102">
        <f>18740600+468500</f>
        <v>19209100</v>
      </c>
    </row>
    <row r="155" spans="1:7" ht="63.75">
      <c r="A155" s="38" t="s">
        <v>244</v>
      </c>
      <c r="B155" s="32" t="s">
        <v>294</v>
      </c>
      <c r="C155" s="101">
        <f>C156</f>
        <v>38496.05</v>
      </c>
      <c r="D155" s="70">
        <f>D156</f>
        <v>14398.809999999998</v>
      </c>
      <c r="E155" s="101">
        <f>E156</f>
        <v>52894.86</v>
      </c>
      <c r="F155" s="70">
        <f>F156</f>
        <v>0</v>
      </c>
      <c r="G155" s="101">
        <f>G156</f>
        <v>52894.86</v>
      </c>
    </row>
    <row r="156" spans="1:7" ht="63.75">
      <c r="A156" s="39" t="s">
        <v>245</v>
      </c>
      <c r="B156" s="33" t="s">
        <v>295</v>
      </c>
      <c r="C156" s="102">
        <v>38496.05</v>
      </c>
      <c r="D156" s="70">
        <f>E156-C156</f>
        <v>14398.809999999998</v>
      </c>
      <c r="E156" s="102">
        <v>52894.86</v>
      </c>
      <c r="F156" s="70">
        <f>G156-E156</f>
        <v>0</v>
      </c>
      <c r="G156" s="102">
        <f>38496.05+14398.81</f>
        <v>52894.86</v>
      </c>
    </row>
    <row r="157" spans="1:7" ht="38.25">
      <c r="A157" s="38" t="s">
        <v>246</v>
      </c>
      <c r="B157" s="34" t="s">
        <v>126</v>
      </c>
      <c r="C157" s="101">
        <f>C158</f>
        <v>2243147</v>
      </c>
      <c r="D157" s="70">
        <f>D158</f>
        <v>0</v>
      </c>
      <c r="E157" s="101">
        <f>E158</f>
        <v>2243147</v>
      </c>
      <c r="F157" s="70">
        <f>F158</f>
        <v>0</v>
      </c>
      <c r="G157" s="101">
        <f>G158</f>
        <v>2243147</v>
      </c>
    </row>
    <row r="158" spans="1:7" ht="38.25">
      <c r="A158" s="39" t="s">
        <v>247</v>
      </c>
      <c r="B158" s="33" t="s">
        <v>2</v>
      </c>
      <c r="C158" s="102">
        <v>2243147</v>
      </c>
      <c r="D158" s="70">
        <f>E158-C158</f>
        <v>0</v>
      </c>
      <c r="E158" s="102">
        <v>2243147</v>
      </c>
      <c r="F158" s="70">
        <f>G158-E158</f>
        <v>0</v>
      </c>
      <c r="G158" s="102">
        <v>2243147</v>
      </c>
    </row>
    <row r="159" spans="1:7" ht="12.75">
      <c r="A159" s="38" t="s">
        <v>296</v>
      </c>
      <c r="B159" s="34" t="s">
        <v>298</v>
      </c>
      <c r="C159" s="101">
        <f>C160</f>
        <v>978881400</v>
      </c>
      <c r="D159" s="70">
        <f>D160</f>
        <v>0</v>
      </c>
      <c r="E159" s="101">
        <f>E160</f>
        <v>978881400</v>
      </c>
      <c r="F159" s="70">
        <f>F160</f>
        <v>66428300</v>
      </c>
      <c r="G159" s="101">
        <f>G160</f>
        <v>1045309700</v>
      </c>
    </row>
    <row r="160" spans="1:7" ht="25.5">
      <c r="A160" s="39" t="s">
        <v>297</v>
      </c>
      <c r="B160" s="33" t="s">
        <v>299</v>
      </c>
      <c r="C160" s="102">
        <v>978881400</v>
      </c>
      <c r="D160" s="70">
        <f>E160-C160</f>
        <v>0</v>
      </c>
      <c r="E160" s="102">
        <v>978881400</v>
      </c>
      <c r="F160" s="70">
        <f>G160-E160</f>
        <v>66428300</v>
      </c>
      <c r="G160" s="102">
        <f>978881400+66428300</f>
        <v>1045309700</v>
      </c>
    </row>
    <row r="161" spans="1:7" s="47" customFormat="1" ht="13.5">
      <c r="A161" s="45" t="s">
        <v>248</v>
      </c>
      <c r="B161" s="46" t="s">
        <v>145</v>
      </c>
      <c r="C161" s="99">
        <f>C164+C166+C168+C172+C162+C170</f>
        <v>306794050</v>
      </c>
      <c r="D161" s="49">
        <f>D164+D166+D168+D172+D162+D170</f>
        <v>-6336574.920000017</v>
      </c>
      <c r="E161" s="99">
        <f>E164+E166+E168+E172+E162+E170</f>
        <v>300457475.08</v>
      </c>
      <c r="F161" s="49">
        <f>F164+F166+F168+F172+F162+F170</f>
        <v>29495066.300000012</v>
      </c>
      <c r="G161" s="99">
        <f>G164+G166+G168+G172+G162+G170</f>
        <v>329952541.38</v>
      </c>
    </row>
    <row r="162" spans="1:7" ht="89.25">
      <c r="A162" s="38" t="s">
        <v>418</v>
      </c>
      <c r="B162" s="32" t="s">
        <v>419</v>
      </c>
      <c r="C162" s="101">
        <f>C163</f>
        <v>0</v>
      </c>
      <c r="D162" s="70">
        <f>D163</f>
        <v>0</v>
      </c>
      <c r="E162" s="101">
        <f>E163</f>
        <v>0</v>
      </c>
      <c r="F162" s="70">
        <f>F163</f>
        <v>1350300</v>
      </c>
      <c r="G162" s="101">
        <f>G163</f>
        <v>1350300</v>
      </c>
    </row>
    <row r="163" spans="1:7" ht="89.25">
      <c r="A163" s="39" t="s">
        <v>420</v>
      </c>
      <c r="B163" s="33" t="s">
        <v>421</v>
      </c>
      <c r="C163" s="102">
        <v>0</v>
      </c>
      <c r="D163" s="70">
        <f>E163-C163</f>
        <v>0</v>
      </c>
      <c r="E163" s="102">
        <v>0</v>
      </c>
      <c r="F163" s="70">
        <f>G163-E163</f>
        <v>1350300</v>
      </c>
      <c r="G163" s="102">
        <v>1350300</v>
      </c>
    </row>
    <row r="164" spans="1:7" ht="76.5">
      <c r="A164" s="38" t="s">
        <v>300</v>
      </c>
      <c r="B164" s="32" t="s">
        <v>302</v>
      </c>
      <c r="C164" s="101">
        <f>C165</f>
        <v>42223860</v>
      </c>
      <c r="D164" s="70">
        <f>D165</f>
        <v>0</v>
      </c>
      <c r="E164" s="101">
        <f>E165</f>
        <v>42223860</v>
      </c>
      <c r="F164" s="70">
        <f>F165</f>
        <v>898380</v>
      </c>
      <c r="G164" s="101">
        <f>G165</f>
        <v>43122240</v>
      </c>
    </row>
    <row r="165" spans="1:7" ht="76.5">
      <c r="A165" s="39" t="s">
        <v>301</v>
      </c>
      <c r="B165" s="33" t="s">
        <v>303</v>
      </c>
      <c r="C165" s="102">
        <v>42223860</v>
      </c>
      <c r="D165" s="70">
        <f>E165-C165</f>
        <v>0</v>
      </c>
      <c r="E165" s="102">
        <v>42223860</v>
      </c>
      <c r="F165" s="70">
        <f>G165-E165</f>
        <v>898380</v>
      </c>
      <c r="G165" s="102">
        <f>40388040+1835820+859320+39060</f>
        <v>43122240</v>
      </c>
    </row>
    <row r="166" spans="1:7" ht="89.25">
      <c r="A166" s="38" t="s">
        <v>354</v>
      </c>
      <c r="B166" s="34" t="s">
        <v>355</v>
      </c>
      <c r="C166" s="101">
        <f>C167</f>
        <v>44330000</v>
      </c>
      <c r="D166" s="70">
        <f>D167</f>
        <v>19185015.08</v>
      </c>
      <c r="E166" s="101">
        <f>E167</f>
        <v>63515015.08</v>
      </c>
      <c r="F166" s="70">
        <f>F167</f>
        <v>3200000</v>
      </c>
      <c r="G166" s="101">
        <f>G167</f>
        <v>66715015.08</v>
      </c>
    </row>
    <row r="167" spans="1:7" ht="89.25">
      <c r="A167" s="39" t="s">
        <v>353</v>
      </c>
      <c r="B167" s="35" t="s">
        <v>356</v>
      </c>
      <c r="C167" s="102">
        <v>44330000</v>
      </c>
      <c r="D167" s="70">
        <f>E167-C167</f>
        <v>19185015.08</v>
      </c>
      <c r="E167" s="102">
        <v>63515015.08</v>
      </c>
      <c r="F167" s="70">
        <f>G167-E167</f>
        <v>3200000</v>
      </c>
      <c r="G167" s="102">
        <f>44330000+19185015.08+3200000</f>
        <v>66715015.08</v>
      </c>
    </row>
    <row r="168" spans="1:7" ht="38.25">
      <c r="A168" s="38" t="s">
        <v>422</v>
      </c>
      <c r="B168" s="34" t="s">
        <v>423</v>
      </c>
      <c r="C168" s="101">
        <f>C169</f>
        <v>5000000</v>
      </c>
      <c r="D168" s="70">
        <f>D169</f>
        <v>0</v>
      </c>
      <c r="E168" s="101">
        <f>E169</f>
        <v>5000000</v>
      </c>
      <c r="F168" s="70">
        <f>F169</f>
        <v>0</v>
      </c>
      <c r="G168" s="101">
        <f>G169</f>
        <v>5000000</v>
      </c>
    </row>
    <row r="169" spans="1:7" ht="38.25">
      <c r="A169" s="39" t="s">
        <v>424</v>
      </c>
      <c r="B169" s="35" t="s">
        <v>425</v>
      </c>
      <c r="C169" s="102">
        <v>5000000</v>
      </c>
      <c r="D169" s="70">
        <f>E169-C169</f>
        <v>0</v>
      </c>
      <c r="E169" s="102">
        <v>5000000</v>
      </c>
      <c r="F169" s="70">
        <f>G169-E169</f>
        <v>0</v>
      </c>
      <c r="G169" s="102">
        <v>5000000</v>
      </c>
    </row>
    <row r="170" spans="1:7" ht="51">
      <c r="A170" s="38" t="s">
        <v>357</v>
      </c>
      <c r="B170" s="34" t="s">
        <v>359</v>
      </c>
      <c r="C170" s="101">
        <f>C171</f>
        <v>197240190</v>
      </c>
      <c r="D170" s="70">
        <f>D171</f>
        <v>-197240190</v>
      </c>
      <c r="E170" s="101">
        <f>E171</f>
        <v>0</v>
      </c>
      <c r="F170" s="70">
        <f>F171</f>
        <v>0</v>
      </c>
      <c r="G170" s="101">
        <f>G171</f>
        <v>0</v>
      </c>
    </row>
    <row r="171" spans="1:7" ht="51">
      <c r="A171" s="39" t="s">
        <v>358</v>
      </c>
      <c r="B171" s="35" t="s">
        <v>360</v>
      </c>
      <c r="C171" s="102">
        <v>197240190</v>
      </c>
      <c r="D171" s="70">
        <f>E171-C171</f>
        <v>-197240190</v>
      </c>
      <c r="E171" s="102">
        <v>0</v>
      </c>
      <c r="F171" s="70">
        <f>G171-E171</f>
        <v>0</v>
      </c>
      <c r="G171" s="102">
        <v>0</v>
      </c>
    </row>
    <row r="172" spans="1:7" ht="25.5">
      <c r="A172" s="38" t="s">
        <v>249</v>
      </c>
      <c r="B172" s="34" t="s">
        <v>146</v>
      </c>
      <c r="C172" s="101">
        <f>C173</f>
        <v>18000000</v>
      </c>
      <c r="D172" s="70">
        <f>D173</f>
        <v>171718600</v>
      </c>
      <c r="E172" s="101">
        <f>E173</f>
        <v>189718600</v>
      </c>
      <c r="F172" s="70">
        <f>F173</f>
        <v>24046386.300000012</v>
      </c>
      <c r="G172" s="101">
        <f>G173</f>
        <v>213764986.3</v>
      </c>
    </row>
    <row r="173" spans="1:7" ht="25.5">
      <c r="A173" s="39" t="s">
        <v>250</v>
      </c>
      <c r="B173" s="35" t="s">
        <v>147</v>
      </c>
      <c r="C173" s="102">
        <v>18000000</v>
      </c>
      <c r="D173" s="70">
        <f>E173-C173</f>
        <v>171718600</v>
      </c>
      <c r="E173" s="102">
        <v>189718600</v>
      </c>
      <c r="F173" s="70">
        <f>G173-E173</f>
        <v>24046386.300000012</v>
      </c>
      <c r="G173" s="102">
        <f>171718600+18000000+5067300+3803000+942000+13620586.3+613500</f>
        <v>213764986.3</v>
      </c>
    </row>
    <row r="174" spans="1:7" s="47" customFormat="1" ht="28.5" customHeight="1">
      <c r="A174" s="120" t="s">
        <v>127</v>
      </c>
      <c r="B174" s="120"/>
      <c r="C174" s="99">
        <f>C8+C124</f>
        <v>3562447160.49</v>
      </c>
      <c r="D174" s="49">
        <f>D8+D124</f>
        <v>114837223.65999992</v>
      </c>
      <c r="E174" s="99">
        <f>E8+E124</f>
        <v>3677284384.1499996</v>
      </c>
      <c r="F174" s="49">
        <f>F8+F124</f>
        <v>96257360.9700001</v>
      </c>
      <c r="G174" s="99">
        <f>G8+G124</f>
        <v>3773541745.1200004</v>
      </c>
    </row>
    <row r="175" spans="3:7" s="41" customFormat="1" ht="15">
      <c r="C175" s="40"/>
      <c r="D175" s="119"/>
      <c r="E175" s="40"/>
      <c r="F175" s="119"/>
      <c r="G175" s="40"/>
    </row>
    <row r="176" spans="3:7" s="41" customFormat="1" ht="15">
      <c r="C176" s="40"/>
      <c r="D176" s="119"/>
      <c r="E176" s="40"/>
      <c r="F176" s="119"/>
      <c r="G176" s="40"/>
    </row>
  </sheetData>
  <sheetProtection/>
  <mergeCells count="1">
    <mergeCell ref="A174:B174"/>
  </mergeCells>
  <printOptions horizontalCentered="1"/>
  <pageMargins left="0.3937007874015748" right="0.15748031496062992" top="0.15748031496062992" bottom="0.2362204724409449" header="0.1968503937007874" footer="0.15748031496062992"/>
  <pageSetup fitToHeight="2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F66" sqref="F66"/>
    </sheetView>
  </sheetViews>
  <sheetFormatPr defaultColWidth="9.00390625" defaultRowHeight="12.75"/>
  <cols>
    <col min="1" max="1" width="40.125" style="4" customWidth="1"/>
    <col min="2" max="2" width="13.25390625" style="5" customWidth="1"/>
    <col min="3" max="3" width="18.25390625" style="22" customWidth="1"/>
    <col min="4" max="4" width="18.25390625" style="90" customWidth="1"/>
    <col min="5" max="7" width="18.25390625" style="22" customWidth="1"/>
    <col min="8" max="16384" width="9.125" style="6" customWidth="1"/>
  </cols>
  <sheetData>
    <row r="1" ht="12.75">
      <c r="G1" s="22" t="s">
        <v>372</v>
      </c>
    </row>
    <row r="2" spans="1:7" ht="12.75">
      <c r="A2" s="4" t="s">
        <v>148</v>
      </c>
      <c r="G2" s="22" t="s">
        <v>374</v>
      </c>
    </row>
    <row r="3" spans="1:7" ht="25.5" customHeight="1">
      <c r="A3" s="89" t="s">
        <v>430</v>
      </c>
      <c r="B3" s="89"/>
      <c r="C3" s="89"/>
      <c r="D3" s="91"/>
      <c r="E3" s="89"/>
      <c r="F3" s="91"/>
      <c r="G3" s="89"/>
    </row>
    <row r="4" spans="1:4" ht="12.75">
      <c r="A4" s="7" t="s">
        <v>148</v>
      </c>
      <c r="B4" s="7"/>
      <c r="D4" s="92"/>
    </row>
    <row r="5" spans="1:4" ht="12.75">
      <c r="A5" s="8" t="s">
        <v>148</v>
      </c>
      <c r="D5" s="93"/>
    </row>
    <row r="6" spans="1:7" ht="39" customHeight="1">
      <c r="A6" s="88" t="s">
        <v>149</v>
      </c>
      <c r="B6" s="88" t="s">
        <v>150</v>
      </c>
      <c r="C6" s="97" t="s">
        <v>427</v>
      </c>
      <c r="D6" s="18" t="s">
        <v>433</v>
      </c>
      <c r="E6" s="97" t="s">
        <v>426</v>
      </c>
      <c r="F6" s="18" t="s">
        <v>434</v>
      </c>
      <c r="G6" s="97" t="s">
        <v>428</v>
      </c>
    </row>
    <row r="7" spans="1:7" ht="12.75">
      <c r="A7" s="44">
        <v>1</v>
      </c>
      <c r="B7" s="44">
        <v>2</v>
      </c>
      <c r="C7" s="98">
        <v>3</v>
      </c>
      <c r="D7" s="94" t="s">
        <v>431</v>
      </c>
      <c r="E7" s="98">
        <v>5</v>
      </c>
      <c r="F7" s="94" t="s">
        <v>432</v>
      </c>
      <c r="G7" s="98">
        <v>7</v>
      </c>
    </row>
    <row r="8" spans="1:7" s="11" customFormat="1" ht="13.5">
      <c r="A8" s="9" t="s">
        <v>151</v>
      </c>
      <c r="B8" s="10" t="s">
        <v>152</v>
      </c>
      <c r="C8" s="108">
        <f>SUM(C9:C15)</f>
        <v>275893479.74</v>
      </c>
      <c r="D8" s="23">
        <f aca="true" t="shared" si="0" ref="D8:D39">E8-C8</f>
        <v>-11468539.720000029</v>
      </c>
      <c r="E8" s="108">
        <f>SUM(E9:E15)</f>
        <v>264424940.01999998</v>
      </c>
      <c r="F8" s="23">
        <f>SUM(F9:F15)</f>
        <v>6452864.48000002</v>
      </c>
      <c r="G8" s="108">
        <f>SUM(G9:G15)</f>
        <v>270877804.5</v>
      </c>
    </row>
    <row r="9" spans="1:7" ht="38.25">
      <c r="A9" s="12" t="s">
        <v>153</v>
      </c>
      <c r="B9" s="13" t="s">
        <v>154</v>
      </c>
      <c r="C9" s="109">
        <v>3577035.3</v>
      </c>
      <c r="D9" s="24">
        <f t="shared" si="0"/>
        <v>631287.7700000005</v>
      </c>
      <c r="E9" s="109">
        <v>4208323.07</v>
      </c>
      <c r="F9" s="24">
        <f aca="true" t="shared" si="1" ref="F9:F20">G9-E9</f>
        <v>-473536.00000000047</v>
      </c>
      <c r="G9" s="109">
        <v>3734787.07</v>
      </c>
    </row>
    <row r="10" spans="1:7" ht="51">
      <c r="A10" s="12" t="s">
        <v>155</v>
      </c>
      <c r="B10" s="13" t="s">
        <v>156</v>
      </c>
      <c r="C10" s="109">
        <v>7795549.75</v>
      </c>
      <c r="D10" s="24">
        <f t="shared" si="0"/>
        <v>908854.8100000005</v>
      </c>
      <c r="E10" s="109">
        <v>8704404.56</v>
      </c>
      <c r="F10" s="24">
        <f t="shared" si="1"/>
        <v>40263.46999999881</v>
      </c>
      <c r="G10" s="109">
        <v>8744668.03</v>
      </c>
    </row>
    <row r="11" spans="1:7" ht="63.75">
      <c r="A11" s="12" t="s">
        <v>157</v>
      </c>
      <c r="B11" s="13" t="s">
        <v>158</v>
      </c>
      <c r="C11" s="109">
        <v>84110481.19</v>
      </c>
      <c r="D11" s="24">
        <f t="shared" si="0"/>
        <v>11205397.469999999</v>
      </c>
      <c r="E11" s="109">
        <v>95315878.66</v>
      </c>
      <c r="F11" s="24">
        <f t="shared" si="1"/>
        <v>-693956.200000003</v>
      </c>
      <c r="G11" s="109">
        <v>94621922.46</v>
      </c>
    </row>
    <row r="12" spans="1:7" ht="12.75">
      <c r="A12" s="12" t="s">
        <v>230</v>
      </c>
      <c r="B12" s="13" t="s">
        <v>231</v>
      </c>
      <c r="C12" s="109">
        <v>38496.05</v>
      </c>
      <c r="D12" s="24">
        <f t="shared" si="0"/>
        <v>14398.809999999998</v>
      </c>
      <c r="E12" s="109">
        <v>52894.86</v>
      </c>
      <c r="F12" s="24">
        <f t="shared" si="1"/>
        <v>0</v>
      </c>
      <c r="G12" s="109">
        <v>52894.86</v>
      </c>
    </row>
    <row r="13" spans="1:7" ht="38.25">
      <c r="A13" s="12" t="s">
        <v>159</v>
      </c>
      <c r="B13" s="13" t="s">
        <v>160</v>
      </c>
      <c r="C13" s="109">
        <v>4384071</v>
      </c>
      <c r="D13" s="24">
        <f t="shared" si="0"/>
        <v>1746274.67</v>
      </c>
      <c r="E13" s="109">
        <v>6130345.67</v>
      </c>
      <c r="F13" s="24">
        <f t="shared" si="1"/>
        <v>-1773153.9500000002</v>
      </c>
      <c r="G13" s="109">
        <v>4357191.72</v>
      </c>
    </row>
    <row r="14" spans="1:7" ht="22.5" customHeight="1">
      <c r="A14" s="12" t="s">
        <v>161</v>
      </c>
      <c r="B14" s="13" t="s">
        <v>162</v>
      </c>
      <c r="C14" s="109">
        <v>1000000</v>
      </c>
      <c r="D14" s="24">
        <f t="shared" si="0"/>
        <v>0</v>
      </c>
      <c r="E14" s="109">
        <v>1000000</v>
      </c>
      <c r="F14" s="24">
        <f t="shared" si="1"/>
        <v>-380916.72</v>
      </c>
      <c r="G14" s="109">
        <v>619083.28</v>
      </c>
    </row>
    <row r="15" spans="1:7" ht="12.75">
      <c r="A15" s="12" t="s">
        <v>163</v>
      </c>
      <c r="B15" s="13" t="s">
        <v>164</v>
      </c>
      <c r="C15" s="109">
        <v>174987846.45</v>
      </c>
      <c r="D15" s="24">
        <f t="shared" si="0"/>
        <v>-25974753.25</v>
      </c>
      <c r="E15" s="109">
        <v>149013093.2</v>
      </c>
      <c r="F15" s="24">
        <f t="shared" si="1"/>
        <v>9734163.880000025</v>
      </c>
      <c r="G15" s="109">
        <v>158747257.08</v>
      </c>
    </row>
    <row r="16" spans="1:7" s="11" customFormat="1" ht="25.5" customHeight="1">
      <c r="A16" s="9" t="s">
        <v>436</v>
      </c>
      <c r="B16" s="10" t="s">
        <v>435</v>
      </c>
      <c r="C16" s="108">
        <f>C17</f>
        <v>0</v>
      </c>
      <c r="D16" s="23">
        <f t="shared" si="0"/>
        <v>0</v>
      </c>
      <c r="E16" s="108">
        <f>E17</f>
        <v>0</v>
      </c>
      <c r="F16" s="23">
        <f t="shared" si="1"/>
        <v>1030916.72</v>
      </c>
      <c r="G16" s="108">
        <f>G17</f>
        <v>1030916.72</v>
      </c>
    </row>
    <row r="17" spans="1:7" ht="25.5" customHeight="1">
      <c r="A17" s="12" t="s">
        <v>437</v>
      </c>
      <c r="B17" s="13" t="s">
        <v>438</v>
      </c>
      <c r="C17" s="110">
        <v>0</v>
      </c>
      <c r="D17" s="24">
        <f t="shared" si="0"/>
        <v>0</v>
      </c>
      <c r="E17" s="110">
        <v>0</v>
      </c>
      <c r="F17" s="24">
        <f t="shared" si="1"/>
        <v>1030916.72</v>
      </c>
      <c r="G17" s="110">
        <v>1030916.72</v>
      </c>
    </row>
    <row r="18" spans="1:7" s="11" customFormat="1" ht="25.5">
      <c r="A18" s="9" t="s">
        <v>165</v>
      </c>
      <c r="B18" s="10" t="s">
        <v>166</v>
      </c>
      <c r="C18" s="111">
        <f>SUM(C19:C22)</f>
        <v>51382520.71</v>
      </c>
      <c r="D18" s="23">
        <f t="shared" si="0"/>
        <v>-776712</v>
      </c>
      <c r="E18" s="111">
        <f>SUM(E19:E22)</f>
        <v>50605808.71</v>
      </c>
      <c r="F18" s="23">
        <f t="shared" si="1"/>
        <v>-167102.40000000596</v>
      </c>
      <c r="G18" s="111">
        <f>SUM(G19:G22)</f>
        <v>50438706.309999995</v>
      </c>
    </row>
    <row r="19" spans="1:7" ht="12.75">
      <c r="A19" s="12" t="s">
        <v>368</v>
      </c>
      <c r="B19" s="13" t="s">
        <v>167</v>
      </c>
      <c r="C19" s="109">
        <v>2243147</v>
      </c>
      <c r="D19" s="24">
        <f t="shared" si="0"/>
        <v>0</v>
      </c>
      <c r="E19" s="109">
        <v>2243147</v>
      </c>
      <c r="F19" s="24">
        <f t="shared" si="1"/>
        <v>0</v>
      </c>
      <c r="G19" s="109">
        <v>2243147</v>
      </c>
    </row>
    <row r="20" spans="1:7" ht="12.75">
      <c r="A20" s="12" t="s">
        <v>369</v>
      </c>
      <c r="B20" s="13" t="s">
        <v>168</v>
      </c>
      <c r="C20" s="109">
        <v>438436</v>
      </c>
      <c r="D20" s="24">
        <f t="shared" si="0"/>
        <v>0</v>
      </c>
      <c r="E20" s="109">
        <v>438436</v>
      </c>
      <c r="F20" s="24">
        <f t="shared" si="1"/>
        <v>-411.5999999999767</v>
      </c>
      <c r="G20" s="109">
        <v>438024.4</v>
      </c>
    </row>
    <row r="21" spans="1:7" ht="51">
      <c r="A21" s="12" t="s">
        <v>370</v>
      </c>
      <c r="B21" s="13" t="s">
        <v>371</v>
      </c>
      <c r="C21" s="109">
        <v>48642342.71</v>
      </c>
      <c r="D21" s="24">
        <f t="shared" si="0"/>
        <v>-776712</v>
      </c>
      <c r="E21" s="109">
        <v>47865630.71</v>
      </c>
      <c r="F21" s="24"/>
      <c r="G21" s="109">
        <v>47723934.91</v>
      </c>
    </row>
    <row r="22" spans="1:7" ht="48" customHeight="1">
      <c r="A22" s="12" t="s">
        <v>169</v>
      </c>
      <c r="B22" s="13" t="s">
        <v>170</v>
      </c>
      <c r="C22" s="109">
        <v>58595</v>
      </c>
      <c r="D22" s="24">
        <f t="shared" si="0"/>
        <v>0</v>
      </c>
      <c r="E22" s="109">
        <v>58595</v>
      </c>
      <c r="F22" s="24">
        <f aca="true" t="shared" si="2" ref="F22:F56">G22-E22</f>
        <v>-24995</v>
      </c>
      <c r="G22" s="109">
        <v>33600</v>
      </c>
    </row>
    <row r="23" spans="1:7" s="11" customFormat="1" ht="21.75" customHeight="1">
      <c r="A23" s="9" t="s">
        <v>171</v>
      </c>
      <c r="B23" s="10" t="s">
        <v>172</v>
      </c>
      <c r="C23" s="111">
        <f>SUM(C24:C28)</f>
        <v>240421822.51000002</v>
      </c>
      <c r="D23" s="23">
        <f t="shared" si="0"/>
        <v>97214488.41999999</v>
      </c>
      <c r="E23" s="111">
        <f>SUM(E24:E28)</f>
        <v>337636310.93</v>
      </c>
      <c r="F23" s="23">
        <f t="shared" si="2"/>
        <v>-30580493.28000003</v>
      </c>
      <c r="G23" s="111">
        <f>SUM(G24:G28)</f>
        <v>307055817.65</v>
      </c>
    </row>
    <row r="24" spans="1:7" ht="12.75">
      <c r="A24" s="12" t="s">
        <v>173</v>
      </c>
      <c r="B24" s="13" t="s">
        <v>174</v>
      </c>
      <c r="C24" s="109">
        <v>38441850.9</v>
      </c>
      <c r="D24" s="24">
        <f t="shared" si="0"/>
        <v>66411</v>
      </c>
      <c r="E24" s="109">
        <v>38508261.9</v>
      </c>
      <c r="F24" s="24">
        <f t="shared" si="2"/>
        <v>-35868316.06</v>
      </c>
      <c r="G24" s="109">
        <v>2639945.84</v>
      </c>
    </row>
    <row r="25" spans="1:7" ht="12.75">
      <c r="A25" s="12" t="s">
        <v>175</v>
      </c>
      <c r="B25" s="13" t="s">
        <v>176</v>
      </c>
      <c r="C25" s="109">
        <v>0</v>
      </c>
      <c r="D25" s="24">
        <f t="shared" si="0"/>
        <v>0</v>
      </c>
      <c r="E25" s="109">
        <v>0</v>
      </c>
      <c r="F25" s="24">
        <f t="shared" si="2"/>
        <v>30556451.15</v>
      </c>
      <c r="G25" s="109">
        <v>30556451.15</v>
      </c>
    </row>
    <row r="26" spans="1:7" ht="12.75">
      <c r="A26" s="12" t="s">
        <v>177</v>
      </c>
      <c r="B26" s="13" t="s">
        <v>178</v>
      </c>
      <c r="C26" s="109">
        <v>164520868.99</v>
      </c>
      <c r="D26" s="24">
        <f t="shared" si="0"/>
        <v>97628012.03999999</v>
      </c>
      <c r="E26" s="109">
        <v>262148881.03</v>
      </c>
      <c r="F26" s="24">
        <f t="shared" si="2"/>
        <v>-31116046.319999993</v>
      </c>
      <c r="G26" s="109">
        <v>231032834.71</v>
      </c>
    </row>
    <row r="27" spans="1:7" ht="12.75">
      <c r="A27" s="12" t="s">
        <v>179</v>
      </c>
      <c r="B27" s="13" t="s">
        <v>180</v>
      </c>
      <c r="C27" s="109">
        <v>14059350.97</v>
      </c>
      <c r="D27" s="24">
        <f t="shared" si="0"/>
        <v>-1425532.67</v>
      </c>
      <c r="E27" s="109">
        <v>12633818.3</v>
      </c>
      <c r="F27" s="24">
        <f t="shared" si="2"/>
        <v>0</v>
      </c>
      <c r="G27" s="109">
        <v>12633818.3</v>
      </c>
    </row>
    <row r="28" spans="1:7" ht="25.5">
      <c r="A28" s="12" t="s">
        <v>181</v>
      </c>
      <c r="B28" s="13" t="s">
        <v>182</v>
      </c>
      <c r="C28" s="109">
        <v>23399751.65</v>
      </c>
      <c r="D28" s="24">
        <f t="shared" si="0"/>
        <v>945598.0500000007</v>
      </c>
      <c r="E28" s="109">
        <v>24345349.7</v>
      </c>
      <c r="F28" s="24">
        <f t="shared" si="2"/>
        <v>5847417.949999999</v>
      </c>
      <c r="G28" s="109">
        <v>30192767.65</v>
      </c>
    </row>
    <row r="29" spans="1:7" s="11" customFormat="1" ht="25.5">
      <c r="A29" s="9" t="s">
        <v>183</v>
      </c>
      <c r="B29" s="10" t="s">
        <v>184</v>
      </c>
      <c r="C29" s="111">
        <f>SUM(C30:C33)</f>
        <v>339130238.23</v>
      </c>
      <c r="D29" s="23">
        <f t="shared" si="0"/>
        <v>146657063.68</v>
      </c>
      <c r="E29" s="111">
        <f>SUM(E30:E33)</f>
        <v>485787301.91</v>
      </c>
      <c r="F29" s="23">
        <f t="shared" si="2"/>
        <v>43477636.42000002</v>
      </c>
      <c r="G29" s="111">
        <f>SUM(G30:G33)</f>
        <v>529264938.33000004</v>
      </c>
    </row>
    <row r="30" spans="1:7" ht="12.75">
      <c r="A30" s="12" t="s">
        <v>185</v>
      </c>
      <c r="B30" s="13" t="s">
        <v>186</v>
      </c>
      <c r="C30" s="109">
        <v>143421752.88</v>
      </c>
      <c r="D30" s="24">
        <f t="shared" si="0"/>
        <v>97845589.47</v>
      </c>
      <c r="E30" s="109">
        <v>241267342.35</v>
      </c>
      <c r="F30" s="24">
        <f t="shared" si="2"/>
        <v>-6625366.949999988</v>
      </c>
      <c r="G30" s="109">
        <v>234641975.4</v>
      </c>
    </row>
    <row r="31" spans="1:7" ht="12.75">
      <c r="A31" s="12" t="s">
        <v>187</v>
      </c>
      <c r="B31" s="13" t="s">
        <v>188</v>
      </c>
      <c r="C31" s="109">
        <v>90309104.5</v>
      </c>
      <c r="D31" s="24">
        <f t="shared" si="0"/>
        <v>-28900898.97</v>
      </c>
      <c r="E31" s="109">
        <v>61408205.53</v>
      </c>
      <c r="F31" s="24">
        <f t="shared" si="2"/>
        <v>24125411.58</v>
      </c>
      <c r="G31" s="109">
        <v>85533617.11</v>
      </c>
    </row>
    <row r="32" spans="1:7" ht="12.75">
      <c r="A32" s="12" t="s">
        <v>189</v>
      </c>
      <c r="B32" s="13" t="s">
        <v>190</v>
      </c>
      <c r="C32" s="109">
        <v>105389380.85</v>
      </c>
      <c r="D32" s="24">
        <f t="shared" si="0"/>
        <v>77292950.08000001</v>
      </c>
      <c r="E32" s="109">
        <v>182682330.93</v>
      </c>
      <c r="F32" s="24">
        <f t="shared" si="2"/>
        <v>25987591.78999999</v>
      </c>
      <c r="G32" s="109">
        <v>208669922.72</v>
      </c>
    </row>
    <row r="33" spans="1:7" ht="25.5">
      <c r="A33" s="12" t="s">
        <v>191</v>
      </c>
      <c r="B33" s="13" t="s">
        <v>192</v>
      </c>
      <c r="C33" s="109">
        <v>10000</v>
      </c>
      <c r="D33" s="24">
        <f t="shared" si="0"/>
        <v>419423.1</v>
      </c>
      <c r="E33" s="109">
        <v>429423.1</v>
      </c>
      <c r="F33" s="24">
        <f t="shared" si="2"/>
        <v>-10000</v>
      </c>
      <c r="G33" s="109">
        <v>419423.1</v>
      </c>
    </row>
    <row r="34" spans="1:7" s="11" customFormat="1" ht="17.25" customHeight="1">
      <c r="A34" s="9" t="s">
        <v>439</v>
      </c>
      <c r="B34" s="10" t="s">
        <v>441</v>
      </c>
      <c r="C34" s="108">
        <f>C35</f>
        <v>0</v>
      </c>
      <c r="D34" s="23">
        <f t="shared" si="0"/>
        <v>0</v>
      </c>
      <c r="E34" s="108">
        <f>E35</f>
        <v>0</v>
      </c>
      <c r="F34" s="23">
        <f t="shared" si="2"/>
        <v>235561.83</v>
      </c>
      <c r="G34" s="108">
        <f>G35</f>
        <v>235561.83</v>
      </c>
    </row>
    <row r="35" spans="1:7" ht="25.5">
      <c r="A35" s="12" t="s">
        <v>440</v>
      </c>
      <c r="B35" s="13" t="s">
        <v>442</v>
      </c>
      <c r="C35" s="109">
        <v>0</v>
      </c>
      <c r="D35" s="24">
        <f t="shared" si="0"/>
        <v>0</v>
      </c>
      <c r="E35" s="109">
        <v>0</v>
      </c>
      <c r="F35" s="24">
        <f t="shared" si="2"/>
        <v>235561.83</v>
      </c>
      <c r="G35" s="109">
        <v>235561.83</v>
      </c>
    </row>
    <row r="36" spans="1:7" s="11" customFormat="1" ht="13.5">
      <c r="A36" s="9" t="s">
        <v>193</v>
      </c>
      <c r="B36" s="10" t="s">
        <v>194</v>
      </c>
      <c r="C36" s="111">
        <f>SUM(C37:C42)</f>
        <v>2153267239.69</v>
      </c>
      <c r="D36" s="23">
        <f t="shared" si="0"/>
        <v>1165960.3499994278</v>
      </c>
      <c r="E36" s="111">
        <f>SUM(E37:E42)</f>
        <v>2154433200.0399995</v>
      </c>
      <c r="F36" s="23">
        <f t="shared" si="2"/>
        <v>94308599.94000053</v>
      </c>
      <c r="G36" s="111">
        <f>SUM(G37:G42)</f>
        <v>2248741799.98</v>
      </c>
    </row>
    <row r="37" spans="1:7" ht="12.75">
      <c r="A37" s="12" t="s">
        <v>195</v>
      </c>
      <c r="B37" s="13" t="s">
        <v>196</v>
      </c>
      <c r="C37" s="109">
        <v>791393793.36</v>
      </c>
      <c r="D37" s="24">
        <f t="shared" si="0"/>
        <v>-4901650.25999999</v>
      </c>
      <c r="E37" s="109">
        <v>786492143.1</v>
      </c>
      <c r="F37" s="24">
        <f t="shared" si="2"/>
        <v>22031636.429999948</v>
      </c>
      <c r="G37" s="109">
        <v>808523779.53</v>
      </c>
    </row>
    <row r="38" spans="1:7" s="11" customFormat="1" ht="12.75">
      <c r="A38" s="12" t="s">
        <v>197</v>
      </c>
      <c r="B38" s="13" t="s">
        <v>198</v>
      </c>
      <c r="C38" s="109">
        <v>703545243.08</v>
      </c>
      <c r="D38" s="24">
        <f t="shared" si="0"/>
        <v>-8433531.410000086</v>
      </c>
      <c r="E38" s="109">
        <v>695111711.67</v>
      </c>
      <c r="F38" s="24">
        <f t="shared" si="2"/>
        <v>53024675.600000024</v>
      </c>
      <c r="G38" s="109">
        <v>748136387.27</v>
      </c>
    </row>
    <row r="39" spans="1:7" ht="12.75">
      <c r="A39" s="12" t="s">
        <v>199</v>
      </c>
      <c r="B39" s="13" t="s">
        <v>200</v>
      </c>
      <c r="C39" s="109">
        <v>461831678.91</v>
      </c>
      <c r="D39" s="24">
        <f t="shared" si="0"/>
        <v>8590110.22999996</v>
      </c>
      <c r="E39" s="109">
        <v>470421789.14</v>
      </c>
      <c r="F39" s="24">
        <f t="shared" si="2"/>
        <v>2600786.8400000334</v>
      </c>
      <c r="G39" s="109">
        <v>473022575.98</v>
      </c>
    </row>
    <row r="40" spans="1:7" ht="25.5">
      <c r="A40" s="12" t="s">
        <v>346</v>
      </c>
      <c r="B40" s="13" t="s">
        <v>347</v>
      </c>
      <c r="C40" s="109">
        <v>2609922.08</v>
      </c>
      <c r="D40" s="24">
        <f aca="true" t="shared" si="3" ref="D40:D56">E40-C40</f>
        <v>21800</v>
      </c>
      <c r="E40" s="109">
        <v>2631722.08</v>
      </c>
      <c r="F40" s="24">
        <f t="shared" si="2"/>
        <v>-594087.6000000001</v>
      </c>
      <c r="G40" s="109">
        <v>2037634.48</v>
      </c>
    </row>
    <row r="41" spans="1:7" ht="12.75">
      <c r="A41" s="12" t="s">
        <v>201</v>
      </c>
      <c r="B41" s="13" t="s">
        <v>202</v>
      </c>
      <c r="C41" s="109">
        <v>33219282.52</v>
      </c>
      <c r="D41" s="24">
        <f t="shared" si="3"/>
        <v>7168421.050000001</v>
      </c>
      <c r="E41" s="109">
        <v>40387703.57</v>
      </c>
      <c r="F41" s="24">
        <f t="shared" si="2"/>
        <v>3265933.3900000006</v>
      </c>
      <c r="G41" s="109">
        <v>43653636.96</v>
      </c>
    </row>
    <row r="42" spans="1:7" ht="12.75">
      <c r="A42" s="12" t="s">
        <v>203</v>
      </c>
      <c r="B42" s="13" t="s">
        <v>204</v>
      </c>
      <c r="C42" s="109">
        <v>160667319.74</v>
      </c>
      <c r="D42" s="24">
        <f t="shared" si="3"/>
        <v>-1279189.2600000203</v>
      </c>
      <c r="E42" s="109">
        <v>159388130.48</v>
      </c>
      <c r="F42" s="24">
        <f t="shared" si="2"/>
        <v>13979655.280000001</v>
      </c>
      <c r="G42" s="109">
        <v>173367785.76</v>
      </c>
    </row>
    <row r="43" spans="1:7" s="14" customFormat="1" ht="13.5">
      <c r="A43" s="9" t="s">
        <v>205</v>
      </c>
      <c r="B43" s="10" t="s">
        <v>206</v>
      </c>
      <c r="C43" s="111">
        <f>C44</f>
        <v>300736993.53</v>
      </c>
      <c r="D43" s="23">
        <f t="shared" si="3"/>
        <v>-32339372.23999998</v>
      </c>
      <c r="E43" s="111">
        <f>E44</f>
        <v>268397621.29</v>
      </c>
      <c r="F43" s="23">
        <f t="shared" si="2"/>
        <v>28314415.97999999</v>
      </c>
      <c r="G43" s="111">
        <f>G44</f>
        <v>296712037.27</v>
      </c>
    </row>
    <row r="44" spans="1:7" s="11" customFormat="1" ht="12.75">
      <c r="A44" s="12" t="s">
        <v>207</v>
      </c>
      <c r="B44" s="13" t="s">
        <v>208</v>
      </c>
      <c r="C44" s="109">
        <v>300736993.53</v>
      </c>
      <c r="D44" s="24">
        <f t="shared" si="3"/>
        <v>-32339372.23999998</v>
      </c>
      <c r="E44" s="109">
        <v>268397621.29</v>
      </c>
      <c r="F44" s="24">
        <f t="shared" si="2"/>
        <v>28314415.97999999</v>
      </c>
      <c r="G44" s="109">
        <v>296712037.27</v>
      </c>
    </row>
    <row r="45" spans="1:7" s="14" customFormat="1" ht="13.5">
      <c r="A45" s="9" t="s">
        <v>209</v>
      </c>
      <c r="B45" s="10" t="s">
        <v>210</v>
      </c>
      <c r="C45" s="111">
        <f>SUM(C46:C49)</f>
        <v>87714247.09</v>
      </c>
      <c r="D45" s="23">
        <f t="shared" si="3"/>
        <v>0</v>
      </c>
      <c r="E45" s="111">
        <f>SUM(E46:E49)</f>
        <v>87714247.09</v>
      </c>
      <c r="F45" s="23">
        <f t="shared" si="2"/>
        <v>690605.6599999964</v>
      </c>
      <c r="G45" s="111">
        <f>SUM(G46:G49)</f>
        <v>88404852.75</v>
      </c>
    </row>
    <row r="46" spans="1:7" s="11" customFormat="1" ht="12.75">
      <c r="A46" s="12" t="s">
        <v>211</v>
      </c>
      <c r="B46" s="13" t="s">
        <v>212</v>
      </c>
      <c r="C46" s="109">
        <v>9893270.09</v>
      </c>
      <c r="D46" s="24">
        <f t="shared" si="3"/>
        <v>0</v>
      </c>
      <c r="E46" s="109">
        <v>9893270.09</v>
      </c>
      <c r="F46" s="24">
        <f t="shared" si="2"/>
        <v>381805.66000000015</v>
      </c>
      <c r="G46" s="109">
        <v>10275075.75</v>
      </c>
    </row>
    <row r="47" spans="1:7" ht="12.75">
      <c r="A47" s="12" t="s">
        <v>213</v>
      </c>
      <c r="B47" s="13" t="s">
        <v>214</v>
      </c>
      <c r="C47" s="109">
        <v>4279000</v>
      </c>
      <c r="D47" s="24">
        <f t="shared" si="3"/>
        <v>0</v>
      </c>
      <c r="E47" s="109">
        <v>4279000</v>
      </c>
      <c r="F47" s="24">
        <f t="shared" si="2"/>
        <v>-471900</v>
      </c>
      <c r="G47" s="109">
        <v>3807100</v>
      </c>
    </row>
    <row r="48" spans="1:7" ht="12.75">
      <c r="A48" s="12" t="s">
        <v>215</v>
      </c>
      <c r="B48" s="13" t="s">
        <v>216</v>
      </c>
      <c r="C48" s="109">
        <v>58802800</v>
      </c>
      <c r="D48" s="24">
        <f t="shared" si="3"/>
        <v>0</v>
      </c>
      <c r="E48" s="109">
        <v>58802800</v>
      </c>
      <c r="F48" s="24">
        <f t="shared" si="2"/>
        <v>780700</v>
      </c>
      <c r="G48" s="109">
        <v>59583500</v>
      </c>
    </row>
    <row r="49" spans="1:7" ht="25.5">
      <c r="A49" s="12" t="s">
        <v>251</v>
      </c>
      <c r="B49" s="13" t="s">
        <v>252</v>
      </c>
      <c r="C49" s="109">
        <v>14739177</v>
      </c>
      <c r="D49" s="24">
        <f t="shared" si="3"/>
        <v>0</v>
      </c>
      <c r="E49" s="109">
        <v>14739177</v>
      </c>
      <c r="F49" s="24">
        <f t="shared" si="2"/>
        <v>0</v>
      </c>
      <c r="G49" s="109">
        <v>14739177</v>
      </c>
    </row>
    <row r="50" spans="1:7" s="14" customFormat="1" ht="13.5">
      <c r="A50" s="9" t="s">
        <v>217</v>
      </c>
      <c r="B50" s="10" t="s">
        <v>218</v>
      </c>
      <c r="C50" s="111">
        <f>C51</f>
        <v>84635389.47</v>
      </c>
      <c r="D50" s="23">
        <f t="shared" si="3"/>
        <v>-76704600</v>
      </c>
      <c r="E50" s="111">
        <f>E51</f>
        <v>7930789.47</v>
      </c>
      <c r="F50" s="23">
        <f t="shared" si="2"/>
        <v>192936.6400000006</v>
      </c>
      <c r="G50" s="111">
        <f>G51</f>
        <v>8123726.11</v>
      </c>
    </row>
    <row r="51" spans="1:7" ht="25.5">
      <c r="A51" s="12" t="s">
        <v>219</v>
      </c>
      <c r="B51" s="13" t="s">
        <v>220</v>
      </c>
      <c r="C51" s="109">
        <v>84635389.47</v>
      </c>
      <c r="D51" s="24">
        <f t="shared" si="3"/>
        <v>-76704600</v>
      </c>
      <c r="E51" s="109">
        <v>7930789.47</v>
      </c>
      <c r="F51" s="24">
        <f t="shared" si="2"/>
        <v>192936.6400000006</v>
      </c>
      <c r="G51" s="109">
        <v>8123726.11</v>
      </c>
    </row>
    <row r="52" spans="1:7" s="11" customFormat="1" ht="13.5">
      <c r="A52" s="9" t="s">
        <v>221</v>
      </c>
      <c r="B52" s="10" t="s">
        <v>222</v>
      </c>
      <c r="C52" s="111">
        <f>C53</f>
        <v>4771507.28</v>
      </c>
      <c r="D52" s="23">
        <f t="shared" si="3"/>
        <v>-18080</v>
      </c>
      <c r="E52" s="111">
        <f>E53</f>
        <v>4753427.28</v>
      </c>
      <c r="F52" s="23">
        <f t="shared" si="2"/>
        <v>0</v>
      </c>
      <c r="G52" s="111">
        <f>G53</f>
        <v>4753427.28</v>
      </c>
    </row>
    <row r="53" spans="1:7" ht="12.75">
      <c r="A53" s="12" t="s">
        <v>223</v>
      </c>
      <c r="B53" s="13" t="s">
        <v>224</v>
      </c>
      <c r="C53" s="109">
        <v>4771507.28</v>
      </c>
      <c r="D53" s="24">
        <f t="shared" si="3"/>
        <v>-18080</v>
      </c>
      <c r="E53" s="109">
        <v>4753427.28</v>
      </c>
      <c r="F53" s="24">
        <f t="shared" si="2"/>
        <v>0</v>
      </c>
      <c r="G53" s="109">
        <v>4753427.28</v>
      </c>
    </row>
    <row r="54" spans="1:7" s="14" customFormat="1" ht="25.5">
      <c r="A54" s="9" t="s">
        <v>225</v>
      </c>
      <c r="B54" s="10" t="s">
        <v>226</v>
      </c>
      <c r="C54" s="111">
        <f>C55</f>
        <v>24493722.24</v>
      </c>
      <c r="D54" s="23">
        <f t="shared" si="3"/>
        <v>-4626706.719999999</v>
      </c>
      <c r="E54" s="111">
        <f>E55</f>
        <v>19867015.52</v>
      </c>
      <c r="F54" s="23">
        <f t="shared" si="2"/>
        <v>-3698581.0199999996</v>
      </c>
      <c r="G54" s="111">
        <f>G55</f>
        <v>16168434.5</v>
      </c>
    </row>
    <row r="55" spans="1:7" s="11" customFormat="1" ht="25.5">
      <c r="A55" s="15" t="s">
        <v>227</v>
      </c>
      <c r="B55" s="16" t="s">
        <v>228</v>
      </c>
      <c r="C55" s="112">
        <v>24493722.24</v>
      </c>
      <c r="D55" s="25">
        <f t="shared" si="3"/>
        <v>-4626706.719999999</v>
      </c>
      <c r="E55" s="112">
        <v>19867015.52</v>
      </c>
      <c r="F55" s="25">
        <f t="shared" si="2"/>
        <v>-3698581.0199999996</v>
      </c>
      <c r="G55" s="112">
        <v>16168434.5</v>
      </c>
    </row>
    <row r="56" spans="1:7" s="17" customFormat="1" ht="20.25" customHeight="1">
      <c r="A56" s="121" t="s">
        <v>229</v>
      </c>
      <c r="B56" s="121"/>
      <c r="C56" s="113">
        <f>C8+C18+C23+C29+C36+C43+C45+C50+C52+C54+C16+C34</f>
        <v>3562447160.49</v>
      </c>
      <c r="D56" s="95">
        <f t="shared" si="3"/>
        <v>119103501.76999998</v>
      </c>
      <c r="E56" s="113">
        <f>E8+E18+E23+E29+E36+E43+E45+E50+E52+E54+E16+E34</f>
        <v>3681550662.2599998</v>
      </c>
      <c r="F56" s="95">
        <f t="shared" si="2"/>
        <v>140257360.97000027</v>
      </c>
      <c r="G56" s="113">
        <f>G8+G18+G23+G29+G36+G43+G45+G50+G52+G54+G16+G34</f>
        <v>3821808023.23</v>
      </c>
    </row>
    <row r="59" ht="12.75">
      <c r="D59" s="96"/>
    </row>
    <row r="60" spans="3:7" ht="12.75">
      <c r="C60" s="37"/>
      <c r="E60" s="37"/>
      <c r="F60" s="37"/>
      <c r="G60" s="37"/>
    </row>
  </sheetData>
  <sheetProtection/>
  <mergeCells count="1">
    <mergeCell ref="A56:B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KomissarovaNI</cp:lastModifiedBy>
  <cp:lastPrinted>2023-03-30T09:29:33Z</cp:lastPrinted>
  <dcterms:created xsi:type="dcterms:W3CDTF">2003-08-14T15:25:08Z</dcterms:created>
  <dcterms:modified xsi:type="dcterms:W3CDTF">2023-03-30T09:29:36Z</dcterms:modified>
  <cp:category/>
  <cp:version/>
  <cp:contentType/>
  <cp:contentStatus/>
</cp:coreProperties>
</file>