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konovaEV.ZATO-A\Desktop\МУНИЦИПАЛЬНЫЕ ПРОГРАММЫ\МП ОБРАЗОВАНИЕ на 2021-2025\ОТЧЕТ по МП\за 2021\"/>
    </mc:Choice>
  </mc:AlternateContent>
  <bookViews>
    <workbookView xWindow="0" yWindow="0" windowWidth="28800" windowHeight="10230" firstSheet="3" activeTab="7"/>
  </bookViews>
  <sheets>
    <sheet name="11а. Отч мероп 01.07.21" sheetId="1" state="hidden" r:id="rId1"/>
    <sheet name="11а. Отч мероп 01.10.21 " sheetId="2" state="hidden" r:id="rId2"/>
    <sheet name="без учета счетов бюджета" sheetId="3" state="hidden" r:id="rId3"/>
    <sheet name="11а. Отч мероп 01.01.2022" sheetId="4" r:id="rId4"/>
    <sheet name="31 12 2021" sheetId="5" state="hidden" r:id="rId5"/>
    <sheet name="ЦСР" sheetId="6" state="hidden" r:id="rId6"/>
    <sheet name="11в. Отч пок " sheetId="7" r:id="rId7"/>
    <sheet name="11г Оц эф" sheetId="8"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4" hidden="1">'31 12 2021'!$A$2:$AJ$143</definedName>
    <definedName name="_xlnm._FilterDatabase" localSheetId="2" hidden="1">'без учета счетов бюджета'!$A$6:$I$575</definedName>
    <definedName name="_xlnm._FilterDatabase" localSheetId="5" hidden="1">ЦСР!$A$7:$L$110</definedName>
    <definedName name="_xlnm.Print_Titles" localSheetId="3">'11а. Отч мероп 01.01.2022'!$16:$17</definedName>
    <definedName name="_xlnm.Print_Titles" localSheetId="0">'11а. Отч мероп 01.07.21'!$16:$17</definedName>
    <definedName name="_xlnm.Print_Titles" localSheetId="1">'11а. Отч мероп 01.10.21 '!$16:$17</definedName>
    <definedName name="_xlnm.Print_Titles" localSheetId="2">'без учета счетов бюджета'!$6:$7</definedName>
    <definedName name="_xlnm.Print_Titles" localSheetId="5">ЦСР!$6:$7</definedName>
    <definedName name="_xlnm.Print_Area" localSheetId="3">'11а. Отч мероп 01.01.2022'!$A$1:$K$378</definedName>
    <definedName name="_xlnm.Print_Area" localSheetId="0">'11а. Отч мероп 01.07.21'!$A$1:$K$374</definedName>
    <definedName name="_xlnm.Print_Area" localSheetId="1">'11а. Отч мероп 01.10.21 '!$A$1:$K$378</definedName>
    <definedName name="_xlnm.Print_Area" localSheetId="7">'11г Оц эф'!$A$1:$H$19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2" i="4" l="1"/>
  <c r="I332" i="4"/>
  <c r="I322" i="4"/>
  <c r="I307" i="4"/>
  <c r="I302" i="4"/>
  <c r="I267" i="4"/>
  <c r="I257" i="4"/>
  <c r="I252" i="4"/>
  <c r="I232" i="4"/>
  <c r="I207" i="4"/>
  <c r="I177" i="4"/>
  <c r="I147" i="4"/>
  <c r="I142" i="4"/>
  <c r="I122" i="4"/>
  <c r="I102" i="4"/>
  <c r="I97" i="4"/>
  <c r="I77" i="4"/>
  <c r="I47" i="4"/>
  <c r="I42" i="4"/>
  <c r="I37" i="4"/>
  <c r="I32" i="4"/>
  <c r="I27" i="4"/>
  <c r="I22" i="4"/>
  <c r="E234" i="4" l="1"/>
  <c r="E236" i="4"/>
  <c r="E12" i="8" l="1"/>
  <c r="D12" i="8"/>
  <c r="E11" i="8"/>
  <c r="D11" i="8"/>
  <c r="E10" i="8"/>
  <c r="D10" i="8"/>
  <c r="E9" i="8"/>
  <c r="D9" i="8"/>
  <c r="E8" i="8"/>
  <c r="D8" i="8"/>
  <c r="E7" i="8"/>
  <c r="D7" i="8"/>
  <c r="I40" i="7"/>
  <c r="I42" i="7"/>
  <c r="I43" i="7"/>
  <c r="I44" i="7"/>
  <c r="I45" i="7"/>
  <c r="N38" i="7" s="1"/>
  <c r="I41" i="7"/>
  <c r="H41" i="7"/>
  <c r="H42" i="7"/>
  <c r="H43" i="7"/>
  <c r="H44" i="7"/>
  <c r="M38" i="7" s="1"/>
  <c r="H45" i="7"/>
  <c r="H40" i="7"/>
  <c r="I37" i="7"/>
  <c r="I36" i="7"/>
  <c r="H37" i="7"/>
  <c r="H36" i="7"/>
  <c r="I29" i="7"/>
  <c r="I30" i="7"/>
  <c r="I31" i="7"/>
  <c r="I32" i="7"/>
  <c r="I33" i="7"/>
  <c r="I28" i="7"/>
  <c r="H29" i="7"/>
  <c r="H30" i="7"/>
  <c r="H31" i="7"/>
  <c r="H32" i="7"/>
  <c r="M26" i="7" s="1"/>
  <c r="H33" i="7"/>
  <c r="H28" i="7"/>
  <c r="I23" i="7"/>
  <c r="I24" i="7"/>
  <c r="I25" i="7"/>
  <c r="I22" i="7"/>
  <c r="H23" i="7"/>
  <c r="H24" i="7"/>
  <c r="H25" i="7"/>
  <c r="H22" i="7"/>
  <c r="M20" i="7" s="1"/>
  <c r="I17" i="7"/>
  <c r="I18" i="7"/>
  <c r="I19" i="7"/>
  <c r="I16" i="7"/>
  <c r="N14" i="7" s="1"/>
  <c r="H17" i="7"/>
  <c r="H18" i="7"/>
  <c r="H19" i="7"/>
  <c r="H16" i="7"/>
  <c r="M14" i="7" s="1"/>
  <c r="M9" i="7"/>
  <c r="H12" i="7"/>
  <c r="H13" i="7"/>
  <c r="H11" i="7"/>
  <c r="N9" i="7"/>
  <c r="N20" i="7"/>
  <c r="M34" i="7"/>
  <c r="I13" i="7"/>
  <c r="I12" i="7"/>
  <c r="I11" i="7"/>
  <c r="G17" i="7"/>
  <c r="F17" i="7"/>
  <c r="E17" i="7"/>
  <c r="G32" i="7"/>
  <c r="F32" i="7"/>
  <c r="E32" i="7"/>
  <c r="G30" i="7"/>
  <c r="G29" i="7"/>
  <c r="E29" i="7"/>
  <c r="G45" i="7"/>
  <c r="F45" i="7"/>
  <c r="E45" i="7"/>
  <c r="N34" i="7" l="1"/>
  <c r="N26" i="7"/>
  <c r="I43" i="4" l="1"/>
  <c r="I73" i="4"/>
  <c r="I98" i="4"/>
  <c r="I118" i="4"/>
  <c r="I143" i="4"/>
  <c r="I173" i="4"/>
  <c r="I203" i="4"/>
  <c r="I228" i="4"/>
  <c r="I253" i="4"/>
  <c r="I263" i="4"/>
  <c r="I303" i="4"/>
  <c r="I318" i="4"/>
  <c r="I328" i="4"/>
  <c r="I358" i="4"/>
  <c r="I25" i="4"/>
  <c r="I26" i="4"/>
  <c r="I24" i="4"/>
  <c r="I30" i="4"/>
  <c r="I31" i="4"/>
  <c r="I29" i="4"/>
  <c r="I35" i="4"/>
  <c r="I36" i="4"/>
  <c r="I34" i="4"/>
  <c r="I40" i="4"/>
  <c r="I41" i="4"/>
  <c r="I39" i="4"/>
  <c r="I95" i="4"/>
  <c r="I96" i="4"/>
  <c r="I94" i="4"/>
  <c r="I140" i="4"/>
  <c r="I141" i="4"/>
  <c r="I139" i="4"/>
  <c r="I300" i="4"/>
  <c r="I301" i="4"/>
  <c r="I299" i="4"/>
  <c r="I250" i="4"/>
  <c r="I251" i="4"/>
  <c r="I249" i="4"/>
  <c r="I33" i="4" l="1"/>
  <c r="I28" i="4"/>
  <c r="I23" i="4"/>
  <c r="I18" i="4" s="1"/>
  <c r="I93" i="4"/>
  <c r="F9" i="8" s="1"/>
  <c r="G9" i="8" s="1"/>
  <c r="I138" i="4"/>
  <c r="F10" i="8" s="1"/>
  <c r="G10" i="8" s="1"/>
  <c r="F12" i="4"/>
  <c r="I248" i="4"/>
  <c r="F11" i="8" s="1"/>
  <c r="G11" i="8" s="1"/>
  <c r="I298" i="4"/>
  <c r="F12" i="8" s="1"/>
  <c r="G12" i="8" s="1"/>
  <c r="I38" i="4"/>
  <c r="F8" i="8" s="1"/>
  <c r="G8" i="8" s="1"/>
  <c r="I19" i="4"/>
  <c r="I20" i="4"/>
  <c r="I21" i="4"/>
  <c r="E364" i="4"/>
  <c r="E365" i="4"/>
  <c r="E354" i="4"/>
  <c r="E350" i="4"/>
  <c r="E349" i="4"/>
  <c r="E344" i="4"/>
  <c r="E340" i="4"/>
  <c r="E335" i="4"/>
  <c r="E334" i="4"/>
  <c r="E324" i="4"/>
  <c r="E315" i="4"/>
  <c r="E314" i="4"/>
  <c r="E309" i="4"/>
  <c r="E295" i="4"/>
  <c r="E290" i="4"/>
  <c r="E285" i="4"/>
  <c r="E280" i="4"/>
  <c r="F7" i="8" l="1"/>
  <c r="G7" i="8" s="1"/>
  <c r="E275" i="4"/>
  <c r="E270" i="4"/>
  <c r="E259" i="4"/>
  <c r="E214" i="4" l="1"/>
  <c r="E179" i="4"/>
  <c r="E149" i="4"/>
  <c r="E131" i="4"/>
  <c r="E130" i="4"/>
  <c r="E134" i="4"/>
  <c r="E129" i="4" l="1"/>
  <c r="D134" i="4"/>
  <c r="F134" i="4" s="1"/>
  <c r="E115" i="4" l="1"/>
  <c r="E114" i="4"/>
  <c r="E110" i="4"/>
  <c r="E109" i="4"/>
  <c r="E106" i="4"/>
  <c r="E105" i="4"/>
  <c r="E60" i="4"/>
  <c r="E85" i="4"/>
  <c r="E84" i="4"/>
  <c r="E70" i="4"/>
  <c r="E69" i="4"/>
  <c r="E65" i="4"/>
  <c r="E54" i="4"/>
  <c r="E50" i="4"/>
  <c r="H348" i="5"/>
  <c r="I348" i="5" s="1"/>
  <c r="K348" i="5" s="1"/>
  <c r="H345" i="5"/>
  <c r="H342" i="5"/>
  <c r="I342" i="5" s="1"/>
  <c r="J343" i="5" s="1"/>
  <c r="H339" i="5"/>
  <c r="I339" i="5" s="1"/>
  <c r="H330" i="5"/>
  <c r="H328" i="5"/>
  <c r="H327" i="5"/>
  <c r="H325" i="5"/>
  <c r="M320" i="5"/>
  <c r="L320" i="5"/>
  <c r="K320" i="5"/>
  <c r="J320" i="5"/>
  <c r="I320" i="5"/>
  <c r="H320" i="5"/>
  <c r="M318" i="5"/>
  <c r="L318" i="5"/>
  <c r="K318" i="5"/>
  <c r="J318" i="5"/>
  <c r="I318" i="5"/>
  <c r="H318" i="5"/>
  <c r="N308" i="5"/>
  <c r="M307" i="5"/>
  <c r="L307" i="5"/>
  <c r="K307" i="5"/>
  <c r="J307" i="5"/>
  <c r="I307" i="5"/>
  <c r="H307" i="5"/>
  <c r="M306" i="5"/>
  <c r="L306" i="5"/>
  <c r="K306" i="5"/>
  <c r="J306" i="5"/>
  <c r="I306" i="5"/>
  <c r="H306" i="5"/>
  <c r="M303" i="5"/>
  <c r="L303" i="5"/>
  <c r="K303" i="5"/>
  <c r="J303" i="5"/>
  <c r="I303" i="5"/>
  <c r="H303" i="5"/>
  <c r="M302" i="5"/>
  <c r="L302" i="5"/>
  <c r="K302" i="5"/>
  <c r="J302" i="5"/>
  <c r="I302" i="5"/>
  <c r="H302" i="5"/>
  <c r="M300" i="5"/>
  <c r="M316" i="5" s="1"/>
  <c r="K300" i="5"/>
  <c r="J300" i="5"/>
  <c r="H300" i="5"/>
  <c r="H316" i="5" s="1"/>
  <c r="M298" i="5"/>
  <c r="M297" i="5" s="1"/>
  <c r="K298" i="5"/>
  <c r="K297" i="5" s="1"/>
  <c r="J298" i="5"/>
  <c r="J297" i="5" s="1"/>
  <c r="H298" i="5"/>
  <c r="H299" i="5" s="1"/>
  <c r="M294" i="5"/>
  <c r="M293" i="5"/>
  <c r="L293" i="5"/>
  <c r="K293" i="5"/>
  <c r="J293" i="5"/>
  <c r="I293" i="5"/>
  <c r="H293" i="5"/>
  <c r="M291" i="5"/>
  <c r="K291" i="5"/>
  <c r="J291" i="5"/>
  <c r="H291" i="5"/>
  <c r="J290" i="5"/>
  <c r="H290" i="5"/>
  <c r="M287" i="5"/>
  <c r="K287" i="5"/>
  <c r="J287" i="5"/>
  <c r="H287" i="5"/>
  <c r="M286" i="5"/>
  <c r="K286" i="5"/>
  <c r="J286" i="5"/>
  <c r="H286" i="5"/>
  <c r="M284" i="5"/>
  <c r="H284" i="5"/>
  <c r="M283" i="5"/>
  <c r="H283" i="5"/>
  <c r="M282" i="5"/>
  <c r="H282" i="5"/>
  <c r="M281" i="5"/>
  <c r="K281" i="5"/>
  <c r="J281" i="5"/>
  <c r="H281" i="5"/>
  <c r="I285" i="5" s="1"/>
  <c r="M279" i="5"/>
  <c r="K279" i="5"/>
  <c r="J279" i="5"/>
  <c r="H279" i="5"/>
  <c r="M277" i="5"/>
  <c r="H277" i="5"/>
  <c r="M276" i="5"/>
  <c r="K276" i="5"/>
  <c r="J276" i="5"/>
  <c r="H276" i="5"/>
  <c r="M273" i="5"/>
  <c r="K273" i="5"/>
  <c r="J273" i="5"/>
  <c r="H273" i="5"/>
  <c r="M271" i="5"/>
  <c r="K271" i="5"/>
  <c r="J271" i="5"/>
  <c r="H271" i="5"/>
  <c r="M269" i="5"/>
  <c r="K269" i="5"/>
  <c r="J269" i="5"/>
  <c r="H269" i="5"/>
  <c r="M267" i="5"/>
  <c r="K267" i="5"/>
  <c r="J267" i="5"/>
  <c r="H267" i="5"/>
  <c r="M266" i="5"/>
  <c r="K266" i="5"/>
  <c r="J266" i="5"/>
  <c r="H266" i="5"/>
  <c r="M265" i="5"/>
  <c r="K265" i="5"/>
  <c r="J265" i="5"/>
  <c r="H265" i="5"/>
  <c r="M264" i="5"/>
  <c r="K264" i="5"/>
  <c r="J264" i="5"/>
  <c r="H264" i="5"/>
  <c r="M263" i="5"/>
  <c r="K263" i="5"/>
  <c r="J263" i="5"/>
  <c r="H263" i="5"/>
  <c r="M262" i="5"/>
  <c r="K262" i="5"/>
  <c r="J262" i="5"/>
  <c r="H262" i="5"/>
  <c r="M261" i="5"/>
  <c r="K261" i="5"/>
  <c r="J261" i="5"/>
  <c r="H261" i="5"/>
  <c r="M260" i="5"/>
  <c r="K260" i="5"/>
  <c r="J260" i="5"/>
  <c r="H260" i="5"/>
  <c r="M254" i="5"/>
  <c r="K254" i="5"/>
  <c r="J254" i="5"/>
  <c r="H254" i="5"/>
  <c r="M253" i="5"/>
  <c r="K253" i="5"/>
  <c r="J253" i="5"/>
  <c r="H253" i="5"/>
  <c r="H252" i="5" s="1"/>
  <c r="M252" i="5"/>
  <c r="M249" i="5"/>
  <c r="L249" i="5"/>
  <c r="K249" i="5"/>
  <c r="J249" i="5"/>
  <c r="I249" i="5"/>
  <c r="M248" i="5"/>
  <c r="M247" i="5"/>
  <c r="L246" i="5"/>
  <c r="K246" i="5"/>
  <c r="J246" i="5"/>
  <c r="I246" i="5"/>
  <c r="M241" i="5"/>
  <c r="K241" i="5"/>
  <c r="J241" i="5"/>
  <c r="H241" i="5"/>
  <c r="M240" i="5"/>
  <c r="M242" i="5" s="1"/>
  <c r="K240" i="5"/>
  <c r="J240" i="5"/>
  <c r="J242" i="5" s="1"/>
  <c r="H240" i="5"/>
  <c r="H242" i="5" s="1"/>
  <c r="M238" i="5"/>
  <c r="K238" i="5"/>
  <c r="J238" i="5"/>
  <c r="H238" i="5"/>
  <c r="M237" i="5"/>
  <c r="K237" i="5"/>
  <c r="J237" i="5"/>
  <c r="H237" i="5"/>
  <c r="M233" i="5"/>
  <c r="K233" i="5"/>
  <c r="J233" i="5"/>
  <c r="H233" i="5"/>
  <c r="M231" i="5"/>
  <c r="K231" i="5"/>
  <c r="J231" i="5"/>
  <c r="M230" i="5"/>
  <c r="K230" i="5"/>
  <c r="J230" i="5"/>
  <c r="J221" i="5"/>
  <c r="K219" i="5"/>
  <c r="H219" i="5"/>
  <c r="K218" i="5"/>
  <c r="I216" i="5"/>
  <c r="I221" i="5" s="1"/>
  <c r="H216" i="5"/>
  <c r="M216" i="5" s="1"/>
  <c r="K215" i="5"/>
  <c r="M196" i="5"/>
  <c r="M194" i="5" s="1"/>
  <c r="K196" i="5"/>
  <c r="K194" i="5" s="1"/>
  <c r="J196" i="5"/>
  <c r="J194" i="5" s="1"/>
  <c r="H196" i="5"/>
  <c r="H194" i="5" s="1"/>
  <c r="M192" i="5"/>
  <c r="K192" i="5"/>
  <c r="J192" i="5"/>
  <c r="H192" i="5"/>
  <c r="M191" i="5"/>
  <c r="K191" i="5"/>
  <c r="J191" i="5"/>
  <c r="J190" i="5" s="1"/>
  <c r="H191" i="5"/>
  <c r="H190" i="5" s="1"/>
  <c r="M185" i="5"/>
  <c r="K185" i="5"/>
  <c r="J185" i="5"/>
  <c r="H185" i="5"/>
  <c r="M184" i="5"/>
  <c r="K184" i="5"/>
  <c r="J184" i="5"/>
  <c r="J183" i="5" s="1"/>
  <c r="H184" i="5"/>
  <c r="H183" i="5" s="1"/>
  <c r="M182" i="5"/>
  <c r="K182" i="5"/>
  <c r="J182" i="5"/>
  <c r="H182" i="5"/>
  <c r="M181" i="5"/>
  <c r="M180" i="5" s="1"/>
  <c r="K181" i="5"/>
  <c r="J181" i="5"/>
  <c r="H181" i="5"/>
  <c r="H180" i="5" s="1"/>
  <c r="M179" i="5"/>
  <c r="K179" i="5"/>
  <c r="J179" i="5"/>
  <c r="H179" i="5"/>
  <c r="M178" i="5"/>
  <c r="K178" i="5"/>
  <c r="J178" i="5"/>
  <c r="H178" i="5"/>
  <c r="M171" i="5"/>
  <c r="M170" i="5" s="1"/>
  <c r="K171" i="5"/>
  <c r="K170" i="5" s="1"/>
  <c r="J171" i="5"/>
  <c r="J170" i="5" s="1"/>
  <c r="H171" i="5"/>
  <c r="H170" i="5" s="1"/>
  <c r="J168" i="5"/>
  <c r="J175" i="5" s="1"/>
  <c r="H168" i="5"/>
  <c r="H226" i="5" s="1"/>
  <c r="L226" i="5" s="1"/>
  <c r="J167" i="5"/>
  <c r="M160" i="5"/>
  <c r="K160" i="5"/>
  <c r="J160" i="5"/>
  <c r="H160" i="5"/>
  <c r="M159" i="5"/>
  <c r="K159" i="5"/>
  <c r="J159" i="5"/>
  <c r="H159" i="5"/>
  <c r="H158" i="5" s="1"/>
  <c r="J157" i="5"/>
  <c r="H157" i="5"/>
  <c r="J156" i="5"/>
  <c r="P153" i="5"/>
  <c r="P152" i="5"/>
  <c r="P151" i="5"/>
  <c r="M151" i="5"/>
  <c r="M150" i="5" s="1"/>
  <c r="K151" i="5"/>
  <c r="K150" i="5" s="1"/>
  <c r="J151" i="5"/>
  <c r="J150" i="5" s="1"/>
  <c r="H151" i="5"/>
  <c r="I149" i="5"/>
  <c r="H149" i="5"/>
  <c r="G145" i="5"/>
  <c r="J141" i="5"/>
  <c r="H141" i="5"/>
  <c r="F141" i="5"/>
  <c r="N140" i="5"/>
  <c r="Q139" i="5"/>
  <c r="G139" i="5"/>
  <c r="N138" i="5"/>
  <c r="L138" i="5"/>
  <c r="I138" i="5"/>
  <c r="N137" i="5"/>
  <c r="L137" i="5"/>
  <c r="I137" i="5"/>
  <c r="N136" i="5"/>
  <c r="L136" i="5"/>
  <c r="I136" i="5"/>
  <c r="N135" i="5"/>
  <c r="N185" i="5" s="1"/>
  <c r="L135" i="5"/>
  <c r="I135" i="5"/>
  <c r="I266" i="5" s="1"/>
  <c r="N134" i="5"/>
  <c r="L134" i="5"/>
  <c r="I134" i="5"/>
  <c r="N133" i="5"/>
  <c r="L133" i="5"/>
  <c r="I133" i="5"/>
  <c r="N132" i="5"/>
  <c r="L132" i="5"/>
  <c r="I132" i="5"/>
  <c r="P131" i="5"/>
  <c r="P132" i="5" s="1"/>
  <c r="N131" i="5"/>
  <c r="L131" i="5"/>
  <c r="I131" i="5"/>
  <c r="P130" i="5"/>
  <c r="N130" i="5"/>
  <c r="L130" i="5"/>
  <c r="I130" i="5"/>
  <c r="N129" i="5"/>
  <c r="L129" i="5"/>
  <c r="I129" i="5"/>
  <c r="N128" i="5"/>
  <c r="L128" i="5"/>
  <c r="I128" i="5"/>
  <c r="N127" i="5"/>
  <c r="L127" i="5"/>
  <c r="I127" i="5"/>
  <c r="N126" i="5"/>
  <c r="L126" i="5"/>
  <c r="I126" i="5"/>
  <c r="N125" i="5"/>
  <c r="L125" i="5"/>
  <c r="I125" i="5"/>
  <c r="P124" i="5"/>
  <c r="P118" i="5" s="1"/>
  <c r="N124" i="5"/>
  <c r="L124" i="5"/>
  <c r="I124" i="5"/>
  <c r="N123" i="5"/>
  <c r="L123" i="5"/>
  <c r="I123" i="5"/>
  <c r="N122" i="5"/>
  <c r="L122" i="5"/>
  <c r="I122" i="5"/>
  <c r="N121" i="5"/>
  <c r="L121" i="5"/>
  <c r="I121" i="5"/>
  <c r="N120" i="5"/>
  <c r="L120" i="5"/>
  <c r="I120" i="5"/>
  <c r="T119" i="5"/>
  <c r="N119" i="5"/>
  <c r="L119" i="5"/>
  <c r="I119" i="5"/>
  <c r="T118" i="5"/>
  <c r="T120" i="5" s="1"/>
  <c r="S118" i="5"/>
  <c r="N118" i="5"/>
  <c r="L118" i="5"/>
  <c r="I118" i="5"/>
  <c r="N117" i="5"/>
  <c r="L117" i="5"/>
  <c r="I117" i="5"/>
  <c r="R116" i="5"/>
  <c r="P116" i="5"/>
  <c r="N116" i="5"/>
  <c r="L116" i="5"/>
  <c r="I116" i="5"/>
  <c r="R115" i="5"/>
  <c r="P115" i="5"/>
  <c r="M115" i="5"/>
  <c r="K115" i="5"/>
  <c r="K167" i="5" s="1"/>
  <c r="J115" i="5"/>
  <c r="I115" i="5"/>
  <c r="H115" i="5"/>
  <c r="H329" i="5" s="1"/>
  <c r="R114" i="5"/>
  <c r="P114" i="5"/>
  <c r="M114" i="5"/>
  <c r="N114" i="5" s="1"/>
  <c r="L114" i="5"/>
  <c r="I114" i="5"/>
  <c r="M113" i="5"/>
  <c r="N113" i="5" s="1"/>
  <c r="L113" i="5"/>
  <c r="K113" i="5"/>
  <c r="O124" i="5" s="1"/>
  <c r="I113" i="5"/>
  <c r="R112" i="5"/>
  <c r="N112" i="5"/>
  <c r="L112" i="5"/>
  <c r="I112" i="5"/>
  <c r="O111" i="5"/>
  <c r="N111" i="5"/>
  <c r="L111" i="5"/>
  <c r="I111" i="5"/>
  <c r="O110" i="5"/>
  <c r="N110" i="5"/>
  <c r="L110" i="5"/>
  <c r="I110" i="5"/>
  <c r="O109" i="5"/>
  <c r="N109" i="5"/>
  <c r="L109" i="5"/>
  <c r="I109" i="5"/>
  <c r="N108" i="5"/>
  <c r="L108" i="5"/>
  <c r="I108" i="5"/>
  <c r="N107" i="5"/>
  <c r="L107" i="5"/>
  <c r="I107" i="5"/>
  <c r="N106" i="5"/>
  <c r="L106" i="5"/>
  <c r="I106" i="5"/>
  <c r="N105" i="5"/>
  <c r="L105" i="5"/>
  <c r="I105" i="5"/>
  <c r="N104" i="5"/>
  <c r="L104" i="5"/>
  <c r="I104" i="5"/>
  <c r="N103" i="5"/>
  <c r="L103" i="5"/>
  <c r="I103" i="5"/>
  <c r="P102" i="5"/>
  <c r="N102" i="5"/>
  <c r="L102" i="5"/>
  <c r="I102" i="5"/>
  <c r="P101" i="5"/>
  <c r="N101" i="5"/>
  <c r="L101" i="5"/>
  <c r="I101" i="5"/>
  <c r="N100" i="5"/>
  <c r="L100" i="5"/>
  <c r="I100" i="5"/>
  <c r="N99" i="5"/>
  <c r="L99" i="5"/>
  <c r="I99" i="5"/>
  <c r="N98" i="5"/>
  <c r="L98" i="5"/>
  <c r="I98" i="5"/>
  <c r="Q97" i="5"/>
  <c r="P97" i="5"/>
  <c r="N97" i="5"/>
  <c r="L97" i="5"/>
  <c r="I97" i="5"/>
  <c r="P96" i="5"/>
  <c r="P98" i="5" s="1"/>
  <c r="N96" i="5"/>
  <c r="L96" i="5"/>
  <c r="I96" i="5"/>
  <c r="N95" i="5"/>
  <c r="L95" i="5"/>
  <c r="I95" i="5"/>
  <c r="N94" i="5"/>
  <c r="L94" i="5"/>
  <c r="I94" i="5"/>
  <c r="N93" i="5"/>
  <c r="L93" i="5"/>
  <c r="I93" i="5"/>
  <c r="N92" i="5"/>
  <c r="L92" i="5"/>
  <c r="I92" i="5"/>
  <c r="N91" i="5"/>
  <c r="L91" i="5"/>
  <c r="I91" i="5"/>
  <c r="N90" i="5"/>
  <c r="L90" i="5"/>
  <c r="I90" i="5"/>
  <c r="P89" i="5"/>
  <c r="N89" i="5"/>
  <c r="L89" i="5"/>
  <c r="I89" i="5"/>
  <c r="P88" i="5"/>
  <c r="P90" i="5" s="1"/>
  <c r="N88" i="5"/>
  <c r="L88" i="5"/>
  <c r="I88" i="5"/>
  <c r="N87" i="5"/>
  <c r="L87" i="5"/>
  <c r="I87" i="5"/>
  <c r="N86" i="5"/>
  <c r="L86" i="5"/>
  <c r="I86" i="5"/>
  <c r="N85" i="5"/>
  <c r="L85" i="5"/>
  <c r="I85" i="5"/>
  <c r="N84" i="5"/>
  <c r="L84" i="5"/>
  <c r="I84" i="5"/>
  <c r="N83" i="5"/>
  <c r="L83" i="5"/>
  <c r="I83" i="5"/>
  <c r="N82" i="5"/>
  <c r="L82" i="5"/>
  <c r="I82" i="5"/>
  <c r="N81" i="5"/>
  <c r="L81" i="5"/>
  <c r="I81" i="5"/>
  <c r="N80" i="5"/>
  <c r="L80" i="5"/>
  <c r="I80" i="5"/>
  <c r="N79" i="5"/>
  <c r="L79" i="5"/>
  <c r="I79" i="5"/>
  <c r="N78" i="5"/>
  <c r="L78" i="5"/>
  <c r="I78" i="5"/>
  <c r="V77" i="5"/>
  <c r="T77" i="5"/>
  <c r="S77" i="5"/>
  <c r="R77" i="5"/>
  <c r="P77" i="5" s="1"/>
  <c r="Q77" i="5"/>
  <c r="N77" i="5"/>
  <c r="L77" i="5"/>
  <c r="I77" i="5"/>
  <c r="AD76" i="5"/>
  <c r="AB76" i="5"/>
  <c r="P76" i="5" s="1"/>
  <c r="Y76" i="5"/>
  <c r="Q76" i="5" s="1"/>
  <c r="X76" i="5"/>
  <c r="N76" i="5"/>
  <c r="L76" i="5"/>
  <c r="I76" i="5"/>
  <c r="V75" i="5"/>
  <c r="T75" i="5"/>
  <c r="S75" i="5"/>
  <c r="R75" i="5"/>
  <c r="P75" i="5" s="1"/>
  <c r="Q75" i="5"/>
  <c r="N75" i="5"/>
  <c r="L75" i="5"/>
  <c r="I75" i="5"/>
  <c r="AD74" i="5"/>
  <c r="AB74" i="5"/>
  <c r="X74" i="5"/>
  <c r="Q74" i="5"/>
  <c r="N74" i="5"/>
  <c r="L74" i="5"/>
  <c r="I74" i="5"/>
  <c r="V73" i="5"/>
  <c r="P73" i="5" s="1"/>
  <c r="T73" i="5"/>
  <c r="S73" i="5"/>
  <c r="R73" i="5"/>
  <c r="Q73" i="5"/>
  <c r="N73" i="5"/>
  <c r="L73" i="5"/>
  <c r="I73" i="5"/>
  <c r="AD72" i="5"/>
  <c r="AB72" i="5"/>
  <c r="X72" i="5"/>
  <c r="P72" i="5" s="1"/>
  <c r="Q72" i="5"/>
  <c r="N72" i="5"/>
  <c r="L72" i="5"/>
  <c r="I72" i="5"/>
  <c r="N71" i="5"/>
  <c r="N171" i="5" s="1"/>
  <c r="N170" i="5" s="1"/>
  <c r="L71" i="5"/>
  <c r="L171" i="5" s="1"/>
  <c r="L170" i="5" s="1"/>
  <c r="I71" i="5"/>
  <c r="I171" i="5" s="1"/>
  <c r="I170" i="5" s="1"/>
  <c r="N70" i="5"/>
  <c r="L70" i="5"/>
  <c r="I70" i="5"/>
  <c r="N69" i="5"/>
  <c r="L69" i="5"/>
  <c r="I69" i="5"/>
  <c r="R68" i="5"/>
  <c r="N68" i="5"/>
  <c r="L68" i="5"/>
  <c r="I68" i="5"/>
  <c r="N67" i="5"/>
  <c r="L67" i="5"/>
  <c r="I67" i="5"/>
  <c r="N66" i="5"/>
  <c r="L66" i="5"/>
  <c r="I66" i="5"/>
  <c r="N65" i="5"/>
  <c r="L65" i="5"/>
  <c r="I65" i="5"/>
  <c r="N64" i="5"/>
  <c r="L64" i="5"/>
  <c r="I64" i="5"/>
  <c r="N63" i="5"/>
  <c r="L63" i="5"/>
  <c r="I63" i="5"/>
  <c r="N62" i="5"/>
  <c r="L62" i="5"/>
  <c r="I62" i="5"/>
  <c r="N61" i="5"/>
  <c r="L61" i="5"/>
  <c r="I61" i="5"/>
  <c r="N60" i="5"/>
  <c r="L60" i="5"/>
  <c r="I60" i="5"/>
  <c r="N59" i="5"/>
  <c r="L59" i="5"/>
  <c r="J59" i="5"/>
  <c r="I59" i="5"/>
  <c r="H59" i="5"/>
  <c r="H215" i="5" s="1"/>
  <c r="M58" i="5"/>
  <c r="L58" i="5"/>
  <c r="I58" i="5"/>
  <c r="Q57" i="5"/>
  <c r="M57" i="5"/>
  <c r="L57" i="5"/>
  <c r="K57" i="5"/>
  <c r="K290" i="5" s="1"/>
  <c r="I57" i="5"/>
  <c r="N56" i="5"/>
  <c r="L56" i="5"/>
  <c r="I56" i="5"/>
  <c r="O55" i="5"/>
  <c r="N55" i="5"/>
  <c r="L55" i="5"/>
  <c r="I55" i="5"/>
  <c r="O54" i="5"/>
  <c r="N54" i="5"/>
  <c r="L54" i="5"/>
  <c r="I54" i="5"/>
  <c r="O53" i="5"/>
  <c r="N53" i="5"/>
  <c r="L53" i="5"/>
  <c r="I53" i="5"/>
  <c r="N52" i="5"/>
  <c r="L52" i="5"/>
  <c r="I52" i="5"/>
  <c r="N51" i="5"/>
  <c r="L51" i="5"/>
  <c r="I51" i="5"/>
  <c r="N50" i="5"/>
  <c r="L50" i="5"/>
  <c r="I50" i="5"/>
  <c r="N49" i="5"/>
  <c r="L49" i="5"/>
  <c r="I49" i="5"/>
  <c r="P48" i="5"/>
  <c r="N48" i="5"/>
  <c r="L48" i="5"/>
  <c r="I48" i="5"/>
  <c r="O47" i="5"/>
  <c r="N47" i="5"/>
  <c r="L47" i="5"/>
  <c r="I47" i="5"/>
  <c r="O46" i="5"/>
  <c r="N46" i="5"/>
  <c r="L46" i="5"/>
  <c r="I46" i="5"/>
  <c r="N45" i="5"/>
  <c r="L45" i="5"/>
  <c r="J45" i="5"/>
  <c r="J143" i="5" s="1"/>
  <c r="I45" i="5"/>
  <c r="N44" i="5"/>
  <c r="L44" i="5"/>
  <c r="H44" i="5"/>
  <c r="I44" i="5" s="1"/>
  <c r="N43" i="5"/>
  <c r="L43" i="5"/>
  <c r="I43" i="5"/>
  <c r="H43" i="5"/>
  <c r="N42" i="5"/>
  <c r="L42" i="5"/>
  <c r="I42" i="5"/>
  <c r="P41" i="5"/>
  <c r="P43" i="5" s="1"/>
  <c r="N41" i="5"/>
  <c r="L41" i="5"/>
  <c r="I41" i="5"/>
  <c r="N40" i="5"/>
  <c r="L40" i="5"/>
  <c r="L254" i="5" s="1"/>
  <c r="I40" i="5"/>
  <c r="I254" i="5" s="1"/>
  <c r="N39" i="5"/>
  <c r="L39" i="5"/>
  <c r="I39" i="5"/>
  <c r="N38" i="5"/>
  <c r="L38" i="5"/>
  <c r="I38" i="5"/>
  <c r="N37" i="5"/>
  <c r="L37" i="5"/>
  <c r="I37" i="5"/>
  <c r="N36" i="5"/>
  <c r="L36" i="5"/>
  <c r="I36" i="5"/>
  <c r="N35" i="5"/>
  <c r="L35" i="5"/>
  <c r="I35" i="5"/>
  <c r="N34" i="5"/>
  <c r="L34" i="5"/>
  <c r="I34" i="5"/>
  <c r="N33" i="5"/>
  <c r="L33" i="5"/>
  <c r="I33" i="5"/>
  <c r="N32" i="5"/>
  <c r="L32" i="5"/>
  <c r="I32" i="5"/>
  <c r="N31" i="5"/>
  <c r="L31" i="5"/>
  <c r="I31" i="5"/>
  <c r="N30" i="5"/>
  <c r="L30" i="5"/>
  <c r="I30" i="5"/>
  <c r="R29" i="5"/>
  <c r="N29" i="5"/>
  <c r="L29" i="5"/>
  <c r="I29" i="5"/>
  <c r="N28" i="5"/>
  <c r="L28" i="5"/>
  <c r="I28" i="5"/>
  <c r="N27" i="5"/>
  <c r="L27" i="5"/>
  <c r="I27" i="5"/>
  <c r="N26" i="5"/>
  <c r="L26" i="5"/>
  <c r="I26" i="5"/>
  <c r="N25" i="5"/>
  <c r="L25" i="5"/>
  <c r="I25" i="5"/>
  <c r="N24" i="5"/>
  <c r="L24" i="5"/>
  <c r="I24" i="5"/>
  <c r="N23" i="5"/>
  <c r="L23" i="5"/>
  <c r="I23" i="5"/>
  <c r="N22" i="5"/>
  <c r="L22" i="5"/>
  <c r="I22" i="5"/>
  <c r="N21" i="5"/>
  <c r="L21" i="5"/>
  <c r="I21" i="5"/>
  <c r="N20" i="5"/>
  <c r="L20" i="5"/>
  <c r="I20" i="5"/>
  <c r="N19" i="5"/>
  <c r="L19" i="5"/>
  <c r="I19" i="5"/>
  <c r="N18" i="5"/>
  <c r="L18" i="5"/>
  <c r="I18" i="5"/>
  <c r="N17" i="5"/>
  <c r="L17" i="5"/>
  <c r="I17" i="5"/>
  <c r="N16" i="5"/>
  <c r="L16" i="5"/>
  <c r="I16" i="5"/>
  <c r="N15" i="5"/>
  <c r="L15" i="5"/>
  <c r="I15" i="5"/>
  <c r="L14" i="5"/>
  <c r="I14" i="5"/>
  <c r="N13" i="5"/>
  <c r="L13" i="5"/>
  <c r="I13" i="5"/>
  <c r="N12" i="5"/>
  <c r="L12" i="5"/>
  <c r="I12" i="5"/>
  <c r="N11" i="5"/>
  <c r="L11" i="5"/>
  <c r="I11" i="5"/>
  <c r="N10" i="5"/>
  <c r="L10" i="5"/>
  <c r="I10" i="5"/>
  <c r="N9" i="5"/>
  <c r="L9" i="5"/>
  <c r="I9" i="5"/>
  <c r="N8" i="5"/>
  <c r="L8" i="5"/>
  <c r="I8" i="5"/>
  <c r="N7" i="5"/>
  <c r="L7" i="5"/>
  <c r="I7" i="5"/>
  <c r="N6" i="5"/>
  <c r="L6" i="5"/>
  <c r="I6" i="5"/>
  <c r="N5" i="5"/>
  <c r="L5" i="5"/>
  <c r="I5" i="5"/>
  <c r="N4" i="5"/>
  <c r="N181" i="5" s="1"/>
  <c r="L4" i="5"/>
  <c r="L181" i="5" s="1"/>
  <c r="I4" i="5"/>
  <c r="I181" i="5" s="1"/>
  <c r="F4" i="5"/>
  <c r="F143" i="5" s="1"/>
  <c r="N3" i="5"/>
  <c r="L3" i="5"/>
  <c r="I3" i="5"/>
  <c r="K183" i="5" l="1"/>
  <c r="E356" i="4"/>
  <c r="M190" i="5"/>
  <c r="N58" i="5"/>
  <c r="E355" i="4"/>
  <c r="K252" i="5"/>
  <c r="E155" i="4"/>
  <c r="M177" i="5"/>
  <c r="J252" i="5"/>
  <c r="E154" i="4"/>
  <c r="E160" i="4"/>
  <c r="E100" i="4"/>
  <c r="M158" i="5"/>
  <c r="K229" i="5"/>
  <c r="K235" i="5" s="1"/>
  <c r="K158" i="5"/>
  <c r="E45" i="4"/>
  <c r="H187" i="5"/>
  <c r="H188" i="5"/>
  <c r="H203" i="5" s="1"/>
  <c r="H206" i="5" s="1"/>
  <c r="H210" i="5" s="1"/>
  <c r="K180" i="5"/>
  <c r="K225" i="5"/>
  <c r="M246" i="5"/>
  <c r="M229" i="5"/>
  <c r="M235" i="5" s="1"/>
  <c r="M141" i="5"/>
  <c r="L265" i="5"/>
  <c r="I281" i="5"/>
  <c r="M187" i="5"/>
  <c r="M202" i="5" s="1"/>
  <c r="J229" i="5"/>
  <c r="J235" i="5" s="1"/>
  <c r="G147" i="5"/>
  <c r="H164" i="5"/>
  <c r="G164" i="5" s="1"/>
  <c r="L261" i="5"/>
  <c r="L159" i="5"/>
  <c r="N196" i="5"/>
  <c r="N194" i="5" s="1"/>
  <c r="H297" i="5"/>
  <c r="O77" i="5"/>
  <c r="I273" i="5"/>
  <c r="J174" i="5"/>
  <c r="J173" i="5" s="1"/>
  <c r="I191" i="5"/>
  <c r="N182" i="5"/>
  <c r="J155" i="5"/>
  <c r="K187" i="5"/>
  <c r="K202" i="5" s="1"/>
  <c r="K205" i="5" s="1"/>
  <c r="L281" i="5"/>
  <c r="J149" i="5"/>
  <c r="K190" i="5"/>
  <c r="J180" i="5"/>
  <c r="O75" i="5"/>
  <c r="R118" i="5"/>
  <c r="N159" i="5"/>
  <c r="L182" i="5"/>
  <c r="J163" i="5"/>
  <c r="H175" i="5"/>
  <c r="J188" i="5"/>
  <c r="J203" i="5" s="1"/>
  <c r="J206" i="5" s="1"/>
  <c r="J210" i="5" s="1"/>
  <c r="M183" i="5"/>
  <c r="N233" i="5"/>
  <c r="P120" i="5"/>
  <c r="P231" i="5"/>
  <c r="L180" i="5"/>
  <c r="N184" i="5"/>
  <c r="N183" i="5" s="1"/>
  <c r="N57" i="5"/>
  <c r="O59" i="5" s="1"/>
  <c r="O76" i="5"/>
  <c r="H177" i="5"/>
  <c r="J158" i="5"/>
  <c r="J164" i="5" s="1"/>
  <c r="J162" i="5" s="1"/>
  <c r="N180" i="5"/>
  <c r="L151" i="5"/>
  <c r="L150" i="5" s="1"/>
  <c r="I141" i="5"/>
  <c r="L271" i="5"/>
  <c r="P81" i="5"/>
  <c r="I159" i="5"/>
  <c r="M285" i="5"/>
  <c r="I167" i="5"/>
  <c r="L286" i="5"/>
  <c r="L287" i="5"/>
  <c r="I143" i="5"/>
  <c r="I151" i="5"/>
  <c r="O73" i="5"/>
  <c r="P103" i="5"/>
  <c r="P104" i="5" s="1"/>
  <c r="M156" i="5"/>
  <c r="P121" i="5"/>
  <c r="O113" i="5"/>
  <c r="M167" i="5"/>
  <c r="P125" i="5"/>
  <c r="P126" i="5" s="1"/>
  <c r="I139" i="5"/>
  <c r="M143" i="5"/>
  <c r="N178" i="5"/>
  <c r="N151" i="5"/>
  <c r="I276" i="5"/>
  <c r="I196" i="5"/>
  <c r="I194" i="5" s="1"/>
  <c r="I160" i="5"/>
  <c r="N191" i="5"/>
  <c r="I240" i="5"/>
  <c r="L290" i="5"/>
  <c r="H247" i="5"/>
  <c r="M139" i="5"/>
  <c r="L240" i="5"/>
  <c r="L237" i="5"/>
  <c r="L168" i="5"/>
  <c r="L175" i="5" s="1"/>
  <c r="L238" i="5"/>
  <c r="L141" i="5"/>
  <c r="L230" i="5"/>
  <c r="L157" i="5"/>
  <c r="L241" i="5"/>
  <c r="L231" i="5"/>
  <c r="I253" i="5"/>
  <c r="I252" i="5" s="1"/>
  <c r="I233" i="5"/>
  <c r="H250" i="5"/>
  <c r="O72" i="5"/>
  <c r="P74" i="5"/>
  <c r="U118" i="5"/>
  <c r="I264" i="5"/>
  <c r="I179" i="5"/>
  <c r="I265" i="5"/>
  <c r="F145" i="5"/>
  <c r="J187" i="5"/>
  <c r="J177" i="5"/>
  <c r="K242" i="5"/>
  <c r="I262" i="5"/>
  <c r="I184" i="5"/>
  <c r="L191" i="5"/>
  <c r="N237" i="5"/>
  <c r="N238" i="5"/>
  <c r="N230" i="5"/>
  <c r="I291" i="5"/>
  <c r="I269" i="5"/>
  <c r="N231" i="5"/>
  <c r="L233" i="5"/>
  <c r="L253" i="5"/>
  <c r="L252" i="5" s="1"/>
  <c r="H326" i="5"/>
  <c r="H332" i="5" s="1"/>
  <c r="H167" i="5"/>
  <c r="H336" i="5"/>
  <c r="I336" i="5" s="1"/>
  <c r="O57" i="5"/>
  <c r="I271" i="5"/>
  <c r="Q114" i="5"/>
  <c r="N115" i="5"/>
  <c r="N143" i="5" s="1"/>
  <c r="R117" i="5"/>
  <c r="S119" i="5"/>
  <c r="L196" i="5"/>
  <c r="L194" i="5" s="1"/>
  <c r="L264" i="5"/>
  <c r="L179" i="5"/>
  <c r="I182" i="5"/>
  <c r="I180" i="5" s="1"/>
  <c r="I267" i="5"/>
  <c r="I192" i="5"/>
  <c r="I279" i="5"/>
  <c r="F139" i="5"/>
  <c r="J139" i="5"/>
  <c r="H150" i="5"/>
  <c r="K156" i="5"/>
  <c r="Q156" i="5"/>
  <c r="K157" i="5"/>
  <c r="N160" i="5"/>
  <c r="K168" i="5"/>
  <c r="K175" i="5" s="1"/>
  <c r="K174" i="5"/>
  <c r="I185" i="5"/>
  <c r="N219" i="5"/>
  <c r="M219" i="5"/>
  <c r="L267" i="5"/>
  <c r="H285" i="5"/>
  <c r="O282" i="5"/>
  <c r="I260" i="5"/>
  <c r="I178" i="5"/>
  <c r="I261" i="5"/>
  <c r="L262" i="5"/>
  <c r="L291" i="5"/>
  <c r="L269" i="5"/>
  <c r="I300" i="5"/>
  <c r="I290" i="5"/>
  <c r="P46" i="5"/>
  <c r="P47" i="5" s="1"/>
  <c r="P49" i="5" s="1"/>
  <c r="H248" i="5"/>
  <c r="H231" i="5"/>
  <c r="G231" i="5" s="1"/>
  <c r="I298" i="5"/>
  <c r="I297" i="5" s="1"/>
  <c r="N179" i="5"/>
  <c r="L192" i="5"/>
  <c r="L185" i="5"/>
  <c r="L266" i="5"/>
  <c r="K139" i="5"/>
  <c r="K141" i="5"/>
  <c r="K143" i="5"/>
  <c r="J145" i="5"/>
  <c r="H156" i="5"/>
  <c r="H155" i="5" s="1"/>
  <c r="J166" i="5"/>
  <c r="K188" i="5"/>
  <c r="K203" i="5" s="1"/>
  <c r="K177" i="5"/>
  <c r="L184" i="5"/>
  <c r="L279" i="5"/>
  <c r="L300" i="5"/>
  <c r="I263" i="5"/>
  <c r="L260" i="5"/>
  <c r="L178" i="5"/>
  <c r="I237" i="5"/>
  <c r="I168" i="5"/>
  <c r="I175" i="5" s="1"/>
  <c r="I238" i="5"/>
  <c r="I230" i="5"/>
  <c r="I241" i="5"/>
  <c r="I231" i="5"/>
  <c r="M168" i="5"/>
  <c r="M175" i="5" s="1"/>
  <c r="M290" i="5"/>
  <c r="M215" i="5"/>
  <c r="H214" i="5"/>
  <c r="P230" i="5"/>
  <c r="L298" i="5"/>
  <c r="L297" i="5" s="1"/>
  <c r="L273" i="5"/>
  <c r="L115" i="5"/>
  <c r="L156" i="5" s="1"/>
  <c r="N192" i="5"/>
  <c r="P128" i="5"/>
  <c r="I286" i="5"/>
  <c r="I287" i="5"/>
  <c r="H139" i="5"/>
  <c r="H143" i="5"/>
  <c r="M146" i="5"/>
  <c r="I156" i="5"/>
  <c r="I157" i="5"/>
  <c r="M157" i="5"/>
  <c r="L160" i="5"/>
  <c r="L158" i="5" s="1"/>
  <c r="H202" i="5"/>
  <c r="M188" i="5"/>
  <c r="M203" i="5" s="1"/>
  <c r="H220" i="5"/>
  <c r="M220" i="5" s="1"/>
  <c r="H230" i="5"/>
  <c r="L263" i="5"/>
  <c r="L276" i="5"/>
  <c r="K216" i="5"/>
  <c r="K221" i="5" s="1"/>
  <c r="H186" i="5" l="1"/>
  <c r="P232" i="5"/>
  <c r="H232" i="5"/>
  <c r="E159" i="4"/>
  <c r="M164" i="5"/>
  <c r="K164" i="5"/>
  <c r="N141" i="5"/>
  <c r="P122" i="5"/>
  <c r="Q122" i="5" s="1"/>
  <c r="N168" i="5"/>
  <c r="N175" i="5" s="1"/>
  <c r="N157" i="5"/>
  <c r="N188" i="5"/>
  <c r="N203" i="5" s="1"/>
  <c r="M145" i="5"/>
  <c r="M147" i="5" s="1"/>
  <c r="K186" i="5"/>
  <c r="I190" i="5"/>
  <c r="K155" i="5"/>
  <c r="L143" i="5"/>
  <c r="L145" i="5" s="1"/>
  <c r="I158" i="5"/>
  <c r="I164" i="5" s="1"/>
  <c r="I145" i="5"/>
  <c r="I147" i="5" s="1"/>
  <c r="L183" i="5"/>
  <c r="N158" i="5"/>
  <c r="N167" i="5"/>
  <c r="N166" i="5" s="1"/>
  <c r="N139" i="5"/>
  <c r="I155" i="5"/>
  <c r="L139" i="5"/>
  <c r="L289" i="5" s="1"/>
  <c r="I229" i="5"/>
  <c r="I235" i="5" s="1"/>
  <c r="K206" i="5"/>
  <c r="K210" i="5" s="1"/>
  <c r="N229" i="5"/>
  <c r="N235" i="5" s="1"/>
  <c r="O115" i="5"/>
  <c r="L155" i="5"/>
  <c r="L163" i="5"/>
  <c r="F147" i="5"/>
  <c r="F140" i="5"/>
  <c r="I188" i="5"/>
  <c r="I203" i="5" s="1"/>
  <c r="I206" i="5" s="1"/>
  <c r="I210" i="5" s="1"/>
  <c r="M206" i="5"/>
  <c r="M210" i="5" s="1"/>
  <c r="L167" i="5"/>
  <c r="M186" i="5"/>
  <c r="K209" i="5"/>
  <c r="R151" i="5"/>
  <c r="N145" i="5"/>
  <c r="L188" i="5"/>
  <c r="L203" i="5" s="1"/>
  <c r="L206" i="5" s="1"/>
  <c r="L210" i="5" s="1"/>
  <c r="H251" i="5"/>
  <c r="H249" i="5" s="1"/>
  <c r="O74" i="5"/>
  <c r="N156" i="5"/>
  <c r="K163" i="5"/>
  <c r="H246" i="5"/>
  <c r="N190" i="5"/>
  <c r="H289" i="5"/>
  <c r="H140" i="5"/>
  <c r="L242" i="5"/>
  <c r="H229" i="5"/>
  <c r="G229" i="5"/>
  <c r="H205" i="5"/>
  <c r="H209" i="5" s="1"/>
  <c r="H201" i="5"/>
  <c r="H333" i="5"/>
  <c r="H145" i="5"/>
  <c r="H147" i="5" s="1"/>
  <c r="M214" i="5"/>
  <c r="R150" i="5"/>
  <c r="K145" i="5"/>
  <c r="R149" i="5" s="1"/>
  <c r="I187" i="5"/>
  <c r="I177" i="5"/>
  <c r="K173" i="5"/>
  <c r="L190" i="5"/>
  <c r="L164" i="5"/>
  <c r="M289" i="5"/>
  <c r="R139" i="5"/>
  <c r="M140" i="5"/>
  <c r="H163" i="5"/>
  <c r="H162" i="5" s="1"/>
  <c r="G162" i="5" s="1"/>
  <c r="K166" i="5"/>
  <c r="N150" i="5"/>
  <c r="M163" i="5"/>
  <c r="M162" i="5" s="1"/>
  <c r="M155" i="5"/>
  <c r="P105" i="5"/>
  <c r="M201" i="5"/>
  <c r="M205" i="5"/>
  <c r="M209" i="5" s="1"/>
  <c r="L177" i="5"/>
  <c r="L187" i="5"/>
  <c r="K289" i="5"/>
  <c r="K140" i="5"/>
  <c r="H218" i="5"/>
  <c r="M218" i="5" s="1"/>
  <c r="M217" i="5" s="1"/>
  <c r="K201" i="5"/>
  <c r="J140" i="5"/>
  <c r="J289" i="5"/>
  <c r="J147" i="5"/>
  <c r="H166" i="5"/>
  <c r="H225" i="5"/>
  <c r="H174" i="5"/>
  <c r="H173" i="5" s="1"/>
  <c r="I183" i="5"/>
  <c r="J202" i="5"/>
  <c r="J186" i="5"/>
  <c r="L229" i="5"/>
  <c r="L235" i="5" s="1"/>
  <c r="I242" i="5"/>
  <c r="N187" i="5"/>
  <c r="N177" i="5"/>
  <c r="I289" i="5"/>
  <c r="M174" i="5"/>
  <c r="M173" i="5" s="1"/>
  <c r="M166" i="5"/>
  <c r="I163" i="5"/>
  <c r="I174" i="5"/>
  <c r="I173" i="5" s="1"/>
  <c r="I166" i="5"/>
  <c r="H235" i="5" l="1"/>
  <c r="K162" i="5"/>
  <c r="N174" i="5"/>
  <c r="N173" i="5" s="1"/>
  <c r="N155" i="5"/>
  <c r="N164" i="5"/>
  <c r="N206" i="5"/>
  <c r="N210" i="5" s="1"/>
  <c r="L147" i="5"/>
  <c r="P166" i="5"/>
  <c r="N147" i="5"/>
  <c r="I162" i="5"/>
  <c r="N163" i="5"/>
  <c r="N202" i="5"/>
  <c r="N186" i="5"/>
  <c r="I186" i="5"/>
  <c r="I202" i="5"/>
  <c r="M221" i="5"/>
  <c r="J205" i="5"/>
  <c r="J209" i="5" s="1"/>
  <c r="J201" i="5"/>
  <c r="L186" i="5"/>
  <c r="L202" i="5"/>
  <c r="L166" i="5"/>
  <c r="L174" i="5"/>
  <c r="L173" i="5" s="1"/>
  <c r="L162" i="5"/>
  <c r="L225" i="5"/>
  <c r="L227" i="5" s="1"/>
  <c r="H224" i="5"/>
  <c r="H227" i="5" s="1"/>
  <c r="K147" i="5"/>
  <c r="G163" i="5"/>
  <c r="H243" i="5"/>
  <c r="H221" i="5"/>
  <c r="H222" i="5" s="1"/>
  <c r="N162" i="5" l="1"/>
  <c r="I201" i="5"/>
  <c r="I205" i="5"/>
  <c r="I209" i="5" s="1"/>
  <c r="L205" i="5"/>
  <c r="L209" i="5" s="1"/>
  <c r="L201" i="5"/>
  <c r="N205" i="5"/>
  <c r="N209" i="5" s="1"/>
  <c r="N201" i="5"/>
  <c r="E312" i="4" l="1"/>
  <c r="E307" i="4" s="1"/>
  <c r="E347" i="4"/>
  <c r="E367" i="4"/>
  <c r="E327" i="4"/>
  <c r="E182" i="4"/>
  <c r="E152" i="4" l="1"/>
  <c r="E112" i="4"/>
  <c r="E57" i="4"/>
  <c r="D347" i="4" l="1"/>
  <c r="D332" i="4" s="1"/>
  <c r="D367" i="4"/>
  <c r="D366" i="4"/>
  <c r="D365" i="4"/>
  <c r="D364" i="4"/>
  <c r="D356" i="4"/>
  <c r="D355" i="4"/>
  <c r="D354" i="4"/>
  <c r="D350" i="4"/>
  <c r="D349" i="4"/>
  <c r="D344" i="4"/>
  <c r="D340" i="4"/>
  <c r="D335" i="4"/>
  <c r="D334" i="4"/>
  <c r="D327" i="4"/>
  <c r="D322" i="4" s="1"/>
  <c r="D37" i="4" s="1"/>
  <c r="D324" i="4"/>
  <c r="D315" i="4"/>
  <c r="D314" i="4"/>
  <c r="D312" i="4"/>
  <c r="D307" i="4" s="1"/>
  <c r="D309" i="4"/>
  <c r="D295" i="4"/>
  <c r="D290" i="4"/>
  <c r="D285" i="4"/>
  <c r="D280" i="4"/>
  <c r="D275" i="4"/>
  <c r="D274" i="4"/>
  <c r="D270" i="4"/>
  <c r="D269" i="4"/>
  <c r="D259" i="4"/>
  <c r="D246" i="4"/>
  <c r="E246" i="4" s="1"/>
  <c r="D245" i="4"/>
  <c r="E245" i="4" s="1"/>
  <c r="D244" i="4"/>
  <c r="E244" i="4" s="1"/>
  <c r="D236" i="4"/>
  <c r="D235" i="4"/>
  <c r="E235" i="4" s="1"/>
  <c r="D234" i="4"/>
  <c r="D224" i="4"/>
  <c r="E224" i="4" s="1"/>
  <c r="D219" i="4"/>
  <c r="D214" i="4"/>
  <c r="F214" i="4" s="1"/>
  <c r="D209" i="4"/>
  <c r="D190" i="4"/>
  <c r="E190" i="4" s="1"/>
  <c r="E185" i="4" s="1"/>
  <c r="D189" i="4"/>
  <c r="E189" i="4" s="1"/>
  <c r="E184" i="4" s="1"/>
  <c r="D185" i="4"/>
  <c r="D184" i="4"/>
  <c r="D182" i="4"/>
  <c r="D179" i="4"/>
  <c r="D169" i="4"/>
  <c r="E169" i="4" s="1"/>
  <c r="E164" i="4" s="1"/>
  <c r="D164" i="4"/>
  <c r="D160" i="4"/>
  <c r="D159" i="4"/>
  <c r="D155" i="4"/>
  <c r="D154" i="4"/>
  <c r="D152" i="4"/>
  <c r="D149" i="4"/>
  <c r="D131" i="4"/>
  <c r="D130" i="4"/>
  <c r="D129" i="4"/>
  <c r="D115" i="4"/>
  <c r="D114" i="4"/>
  <c r="D112" i="4"/>
  <c r="D110" i="4"/>
  <c r="D109" i="4"/>
  <c r="D106" i="4"/>
  <c r="D105" i="4"/>
  <c r="D85" i="4"/>
  <c r="F85" i="4" s="1"/>
  <c r="D84" i="4"/>
  <c r="D70" i="4"/>
  <c r="D69" i="4"/>
  <c r="D65" i="4"/>
  <c r="D60" i="4"/>
  <c r="D57" i="4"/>
  <c r="D54" i="4"/>
  <c r="D52" i="4"/>
  <c r="D51" i="4"/>
  <c r="D50" i="4"/>
  <c r="D49" i="4"/>
  <c r="F367" i="4" l="1"/>
  <c r="F365" i="4"/>
  <c r="F364" i="4"/>
  <c r="E363" i="4"/>
  <c r="D362" i="4"/>
  <c r="D302" i="4" s="1"/>
  <c r="E361" i="4"/>
  <c r="E360" i="4"/>
  <c r="D360" i="4"/>
  <c r="E359" i="4"/>
  <c r="D359" i="4"/>
  <c r="D357" i="4"/>
  <c r="F356" i="4"/>
  <c r="D352" i="4"/>
  <c r="D351" i="4"/>
  <c r="E348" i="4"/>
  <c r="F349" i="4"/>
  <c r="D346" i="4"/>
  <c r="D345" i="4"/>
  <c r="D330" i="4" s="1"/>
  <c r="F344" i="4"/>
  <c r="D342" i="4"/>
  <c r="D341" i="4"/>
  <c r="F340" i="4"/>
  <c r="D339" i="4"/>
  <c r="D338" i="4" s="1"/>
  <c r="E338" i="4"/>
  <c r="D337" i="4"/>
  <c r="D336" i="4"/>
  <c r="F335" i="4"/>
  <c r="F334" i="4"/>
  <c r="E333" i="4"/>
  <c r="E331" i="4"/>
  <c r="E329" i="4"/>
  <c r="F327" i="4"/>
  <c r="D326" i="4"/>
  <c r="D321" i="4" s="1"/>
  <c r="D36" i="4" s="1"/>
  <c r="D325" i="4"/>
  <c r="F324" i="4"/>
  <c r="E323" i="4"/>
  <c r="E322" i="4"/>
  <c r="E37" i="4" s="1"/>
  <c r="E321" i="4"/>
  <c r="E36" i="4" s="1"/>
  <c r="E320" i="4"/>
  <c r="E319" i="4"/>
  <c r="E34" i="4" s="1"/>
  <c r="D319" i="4"/>
  <c r="D317" i="4"/>
  <c r="D316" i="4"/>
  <c r="F315" i="4"/>
  <c r="F314" i="4"/>
  <c r="E313" i="4"/>
  <c r="D311" i="4"/>
  <c r="D310" i="4"/>
  <c r="D305" i="4" s="1"/>
  <c r="D304" i="4"/>
  <c r="E306" i="4"/>
  <c r="E305" i="4"/>
  <c r="D297" i="4"/>
  <c r="D293" i="4" s="1"/>
  <c r="D296" i="4"/>
  <c r="F295" i="4"/>
  <c r="D294" i="4"/>
  <c r="E293" i="4"/>
  <c r="D292" i="4"/>
  <c r="D291" i="4"/>
  <c r="F290" i="4"/>
  <c r="D289" i="4"/>
  <c r="D288" i="4" s="1"/>
  <c r="E288" i="4"/>
  <c r="D287" i="4"/>
  <c r="D286" i="4"/>
  <c r="D266" i="4" s="1"/>
  <c r="F285" i="4"/>
  <c r="D284" i="4"/>
  <c r="D283" i="4" s="1"/>
  <c r="E283" i="4"/>
  <c r="D282" i="4"/>
  <c r="D267" i="4" s="1"/>
  <c r="D281" i="4"/>
  <c r="F280" i="4"/>
  <c r="D279" i="4"/>
  <c r="E278" i="4"/>
  <c r="D277" i="4"/>
  <c r="D276" i="4"/>
  <c r="E273" i="4"/>
  <c r="D273" i="4"/>
  <c r="D272" i="4"/>
  <c r="D271" i="4"/>
  <c r="F270" i="4"/>
  <c r="E268" i="4"/>
  <c r="E267" i="4"/>
  <c r="E266" i="4"/>
  <c r="D265" i="4"/>
  <c r="E264" i="4"/>
  <c r="D262" i="4"/>
  <c r="D261" i="4"/>
  <c r="D256" i="4" s="1"/>
  <c r="D251" i="4" s="1"/>
  <c r="D260" i="4"/>
  <c r="F259" i="4"/>
  <c r="D258" i="4"/>
  <c r="E257" i="4"/>
  <c r="D257" i="4"/>
  <c r="E256" i="4"/>
  <c r="E255" i="4"/>
  <c r="D255" i="4"/>
  <c r="E254" i="4"/>
  <c r="E249" i="4" s="1"/>
  <c r="D254" i="4"/>
  <c r="E251" i="4"/>
  <c r="D247" i="4"/>
  <c r="F246" i="4"/>
  <c r="F245" i="4"/>
  <c r="F244" i="4"/>
  <c r="E243" i="4"/>
  <c r="D243" i="4"/>
  <c r="F243" i="4" s="1"/>
  <c r="D242" i="4"/>
  <c r="D232" i="4" s="1"/>
  <c r="D241" i="4"/>
  <c r="D240" i="4"/>
  <c r="D239" i="4"/>
  <c r="D238" i="4" s="1"/>
  <c r="E238" i="4"/>
  <c r="D237" i="4"/>
  <c r="F236" i="4"/>
  <c r="F235" i="4"/>
  <c r="F234" i="4"/>
  <c r="D229" i="4"/>
  <c r="E233" i="4"/>
  <c r="D233" i="4"/>
  <c r="E232" i="4"/>
  <c r="E231" i="4"/>
  <c r="D231" i="4"/>
  <c r="E230" i="4"/>
  <c r="D230" i="4"/>
  <c r="E229" i="4"/>
  <c r="D227" i="4"/>
  <c r="D226" i="4"/>
  <c r="D225" i="4"/>
  <c r="E223" i="4"/>
  <c r="D222" i="4"/>
  <c r="D218" i="4" s="1"/>
  <c r="D221" i="4"/>
  <c r="D220" i="4"/>
  <c r="E218" i="4"/>
  <c r="D217" i="4"/>
  <c r="D216" i="4"/>
  <c r="D215" i="4"/>
  <c r="D205" i="4" s="1"/>
  <c r="E213" i="4"/>
  <c r="E208" i="4"/>
  <c r="E207" i="4"/>
  <c r="E206" i="4"/>
  <c r="D206" i="4"/>
  <c r="E205" i="4"/>
  <c r="E204" i="4"/>
  <c r="D202" i="4"/>
  <c r="D201" i="4"/>
  <c r="D200" i="4"/>
  <c r="D199" i="4"/>
  <c r="D198" i="4" s="1"/>
  <c r="D197" i="4"/>
  <c r="D196" i="4"/>
  <c r="D195" i="4"/>
  <c r="D194" i="4"/>
  <c r="D193" i="4" s="1"/>
  <c r="D192" i="4"/>
  <c r="D177" i="4" s="1"/>
  <c r="D32" i="4" s="1"/>
  <c r="D191" i="4"/>
  <c r="D174" i="4"/>
  <c r="E188" i="4"/>
  <c r="D187" i="4"/>
  <c r="D186" i="4"/>
  <c r="F185" i="4"/>
  <c r="F184" i="4"/>
  <c r="E183" i="4"/>
  <c r="D183" i="4"/>
  <c r="F182" i="4"/>
  <c r="D181" i="4"/>
  <c r="D180" i="4"/>
  <c r="F179" i="4"/>
  <c r="E178" i="4"/>
  <c r="E177" i="4"/>
  <c r="E32" i="4" s="1"/>
  <c r="E176" i="4"/>
  <c r="E175" i="4"/>
  <c r="E30" i="4" s="1"/>
  <c r="E174" i="4"/>
  <c r="E29" i="4" s="1"/>
  <c r="D172" i="4"/>
  <c r="D171" i="4"/>
  <c r="D170" i="4"/>
  <c r="D168" i="4"/>
  <c r="D167" i="4"/>
  <c r="D166" i="4"/>
  <c r="D165" i="4"/>
  <c r="D163" i="4"/>
  <c r="D162" i="4"/>
  <c r="D158" i="4" s="1"/>
  <c r="D161" i="4"/>
  <c r="F160" i="4"/>
  <c r="S154" i="4"/>
  <c r="D157" i="4"/>
  <c r="D156" i="4"/>
  <c r="S155" i="4"/>
  <c r="F155" i="4"/>
  <c r="F154" i="4"/>
  <c r="E153" i="4"/>
  <c r="D147" i="4"/>
  <c r="D151" i="4"/>
  <c r="D150" i="4"/>
  <c r="D145" i="4" s="1"/>
  <c r="F149" i="4"/>
  <c r="E146" i="4"/>
  <c r="D146" i="4"/>
  <c r="E145" i="4"/>
  <c r="D137" i="4"/>
  <c r="D136" i="4"/>
  <c r="D121" i="4" s="1"/>
  <c r="D135" i="4"/>
  <c r="E133" i="4"/>
  <c r="D133" i="4"/>
  <c r="D132" i="4"/>
  <c r="D128" i="4" s="1"/>
  <c r="F130" i="4"/>
  <c r="F129" i="4"/>
  <c r="E128" i="4"/>
  <c r="D127" i="4"/>
  <c r="D126" i="4"/>
  <c r="D125" i="4"/>
  <c r="D120" i="4" s="1"/>
  <c r="D119" i="4"/>
  <c r="E123" i="4"/>
  <c r="E122" i="4"/>
  <c r="D122" i="4"/>
  <c r="E121" i="4"/>
  <c r="E120" i="4"/>
  <c r="E95" i="4" s="1"/>
  <c r="E119" i="4"/>
  <c r="D117" i="4"/>
  <c r="D116" i="4"/>
  <c r="F115" i="4"/>
  <c r="D113" i="4"/>
  <c r="E108" i="4"/>
  <c r="D111" i="4"/>
  <c r="D108" i="4" s="1"/>
  <c r="F110" i="4"/>
  <c r="F109" i="4"/>
  <c r="E99" i="4"/>
  <c r="D107" i="4"/>
  <c r="D102" i="4" s="1"/>
  <c r="D97" i="4" s="1"/>
  <c r="D100" i="4"/>
  <c r="D104" i="4"/>
  <c r="D99" i="4"/>
  <c r="D92" i="4"/>
  <c r="D91" i="4"/>
  <c r="D76" i="4" s="1"/>
  <c r="D90" i="4"/>
  <c r="D89" i="4"/>
  <c r="E88" i="4"/>
  <c r="D88" i="4"/>
  <c r="D87" i="4"/>
  <c r="D86" i="4"/>
  <c r="F84" i="4"/>
  <c r="E74" i="4"/>
  <c r="E83" i="4"/>
  <c r="D83" i="4"/>
  <c r="D82" i="4"/>
  <c r="D81" i="4"/>
  <c r="D80" i="4"/>
  <c r="D79" i="4"/>
  <c r="E78" i="4"/>
  <c r="E77" i="4"/>
  <c r="D77" i="4"/>
  <c r="E76" i="4"/>
  <c r="E75" i="4"/>
  <c r="E40" i="4" s="1"/>
  <c r="D75" i="4"/>
  <c r="F75" i="4" s="1"/>
  <c r="D74" i="4"/>
  <c r="D72" i="4"/>
  <c r="D71" i="4"/>
  <c r="F70" i="4"/>
  <c r="F69" i="4"/>
  <c r="E68" i="4"/>
  <c r="D67" i="4"/>
  <c r="D66" i="4"/>
  <c r="F65" i="4"/>
  <c r="D64" i="4"/>
  <c r="D63" i="4" s="1"/>
  <c r="E63" i="4"/>
  <c r="D62" i="4"/>
  <c r="D61" i="4"/>
  <c r="F60" i="4"/>
  <c r="D59" i="4"/>
  <c r="D44" i="4" s="1"/>
  <c r="E58" i="4"/>
  <c r="E47" i="4"/>
  <c r="D46" i="4"/>
  <c r="F54" i="4"/>
  <c r="D53" i="4"/>
  <c r="D47" i="4"/>
  <c r="F50" i="4"/>
  <c r="E48" i="4"/>
  <c r="D48" i="4"/>
  <c r="E46" i="4"/>
  <c r="D45" i="4"/>
  <c r="E15" i="4"/>
  <c r="E14" i="4"/>
  <c r="E13" i="4"/>
  <c r="E11" i="4" s="1"/>
  <c r="E12" i="4"/>
  <c r="G9" i="4"/>
  <c r="D9" i="4"/>
  <c r="G8" i="4"/>
  <c r="D8" i="4"/>
  <c r="G7" i="4"/>
  <c r="D7" i="4"/>
  <c r="D6" i="4"/>
  <c r="D5" i="4"/>
  <c r="E41" i="4" l="1"/>
  <c r="E203" i="4"/>
  <c r="E31" i="4"/>
  <c r="D252" i="4"/>
  <c r="E252" i="4"/>
  <c r="F319" i="4"/>
  <c r="F133" i="4"/>
  <c r="D41" i="4"/>
  <c r="E42" i="4"/>
  <c r="D103" i="4"/>
  <c r="E318" i="4"/>
  <c r="E35" i="4"/>
  <c r="E301" i="4"/>
  <c r="F338" i="4"/>
  <c r="F120" i="4"/>
  <c r="F288" i="4"/>
  <c r="F283" i="4"/>
  <c r="E253" i="4"/>
  <c r="F128" i="4"/>
  <c r="F233" i="4"/>
  <c r="F145" i="4"/>
  <c r="F119" i="4"/>
  <c r="D343" i="4"/>
  <c r="E33" i="4"/>
  <c r="D58" i="4"/>
  <c r="F58" i="4" s="1"/>
  <c r="D101" i="4"/>
  <c r="D98" i="4" s="1"/>
  <c r="F305" i="4"/>
  <c r="F37" i="4"/>
  <c r="D323" i="4"/>
  <c r="F63" i="4"/>
  <c r="F360" i="4"/>
  <c r="F322" i="4"/>
  <c r="F323" i="4"/>
  <c r="D34" i="4"/>
  <c r="F293" i="4"/>
  <c r="D250" i="4"/>
  <c r="F273" i="4"/>
  <c r="F230" i="4"/>
  <c r="F183" i="4"/>
  <c r="E158" i="4"/>
  <c r="F158" i="4" s="1"/>
  <c r="F159" i="4"/>
  <c r="D40" i="4"/>
  <c r="F83" i="4"/>
  <c r="F45" i="4"/>
  <c r="F48" i="4"/>
  <c r="F57" i="4"/>
  <c r="F112" i="4"/>
  <c r="E102" i="4"/>
  <c r="F102" i="4" s="1"/>
  <c r="E362" i="4"/>
  <c r="E358" i="4" s="1"/>
  <c r="D29" i="4"/>
  <c r="F47" i="4"/>
  <c r="D42" i="4"/>
  <c r="F42" i="4" s="1"/>
  <c r="D39" i="4"/>
  <c r="D43" i="4"/>
  <c r="E228" i="4"/>
  <c r="F231" i="4"/>
  <c r="D268" i="4"/>
  <c r="F268" i="4" s="1"/>
  <c r="D264" i="4"/>
  <c r="D263" i="4" s="1"/>
  <c r="E330" i="4"/>
  <c r="F355" i="4"/>
  <c r="F32" i="4"/>
  <c r="F74" i="4"/>
  <c r="E73" i="4"/>
  <c r="D94" i="4"/>
  <c r="D95" i="4"/>
  <c r="E118" i="4"/>
  <c r="E147" i="4"/>
  <c r="F152" i="4"/>
  <c r="D176" i="4"/>
  <c r="E141" i="4"/>
  <c r="D204" i="4"/>
  <c r="D308" i="4"/>
  <c r="F347" i="4"/>
  <c r="E332" i="4"/>
  <c r="D329" i="4"/>
  <c r="D353" i="4"/>
  <c r="F359" i="4"/>
  <c r="D363" i="4"/>
  <c r="F363" i="4" s="1"/>
  <c r="D361" i="4"/>
  <c r="D358" i="4" s="1"/>
  <c r="E101" i="4"/>
  <c r="F106" i="4"/>
  <c r="E103" i="4"/>
  <c r="E44" i="4"/>
  <c r="E53" i="4"/>
  <c r="F53" i="4" s="1"/>
  <c r="D68" i="4"/>
  <c r="F68" i="4" s="1"/>
  <c r="D78" i="4"/>
  <c r="F100" i="4"/>
  <c r="F105" i="4"/>
  <c r="F108" i="4"/>
  <c r="F121" i="4"/>
  <c r="D118" i="4"/>
  <c r="F131" i="4"/>
  <c r="D144" i="4"/>
  <c r="D148" i="4"/>
  <c r="F169" i="4"/>
  <c r="E168" i="4"/>
  <c r="F168" i="4" s="1"/>
  <c r="D278" i="4"/>
  <c r="D320" i="4"/>
  <c r="E343" i="4"/>
  <c r="F354" i="4"/>
  <c r="F99" i="4"/>
  <c r="E94" i="4"/>
  <c r="E140" i="4"/>
  <c r="F189" i="4"/>
  <c r="D188" i="4"/>
  <c r="F188" i="4" s="1"/>
  <c r="F229" i="4"/>
  <c r="D228" i="4"/>
  <c r="D253" i="4"/>
  <c r="F254" i="4"/>
  <c r="D73" i="4"/>
  <c r="F114" i="4"/>
  <c r="E113" i="4"/>
  <c r="F113" i="4" s="1"/>
  <c r="D141" i="4"/>
  <c r="F174" i="4"/>
  <c r="F177" i="4"/>
  <c r="D178" i="4"/>
  <c r="F178" i="4" s="1"/>
  <c r="D175" i="4"/>
  <c r="D208" i="4"/>
  <c r="D207" i="4"/>
  <c r="D142" i="4" s="1"/>
  <c r="F224" i="4"/>
  <c r="D223" i="4"/>
  <c r="F223" i="4" s="1"/>
  <c r="F275" i="4"/>
  <c r="E265" i="4"/>
  <c r="F278" i="4"/>
  <c r="E304" i="4"/>
  <c r="F309" i="4"/>
  <c r="E308" i="4"/>
  <c r="D313" i="4"/>
  <c r="F313" i="4" s="1"/>
  <c r="D306" i="4"/>
  <c r="D333" i="4"/>
  <c r="F333" i="4" s="1"/>
  <c r="D331" i="4"/>
  <c r="F331" i="4" s="1"/>
  <c r="D348" i="4"/>
  <c r="F348" i="4" s="1"/>
  <c r="D123" i="4"/>
  <c r="D213" i="4"/>
  <c r="E148" i="4"/>
  <c r="D153" i="4"/>
  <c r="F153" i="4" s="1"/>
  <c r="E173" i="4"/>
  <c r="E258" i="4"/>
  <c r="F258" i="4" s="1"/>
  <c r="F350" i="4"/>
  <c r="E353" i="4"/>
  <c r="M228" i="2"/>
  <c r="K69" i="3"/>
  <c r="L10" i="3"/>
  <c r="L68" i="3"/>
  <c r="K68" i="3"/>
  <c r="L34" i="3"/>
  <c r="K34" i="3"/>
  <c r="K10" i="3"/>
  <c r="L9" i="3"/>
  <c r="K9" i="3"/>
  <c r="H577" i="3"/>
  <c r="E577" i="3"/>
  <c r="M500" i="3"/>
  <c r="L500" i="3"/>
  <c r="M387" i="3"/>
  <c r="L387" i="3"/>
  <c r="M386" i="3"/>
  <c r="L386" i="3"/>
  <c r="M385" i="3"/>
  <c r="L385" i="3"/>
  <c r="N350" i="3"/>
  <c r="M350" i="3"/>
  <c r="M278" i="3"/>
  <c r="L278" i="3"/>
  <c r="M244" i="3"/>
  <c r="L244" i="3"/>
  <c r="M189" i="3"/>
  <c r="L134" i="3"/>
  <c r="L133" i="3"/>
  <c r="L116" i="3"/>
  <c r="I104" i="3"/>
  <c r="I103" i="3"/>
  <c r="I102" i="3"/>
  <c r="H101" i="3"/>
  <c r="G101" i="3"/>
  <c r="F101" i="3"/>
  <c r="E101" i="3"/>
  <c r="I101" i="3" s="1"/>
  <c r="L71" i="3"/>
  <c r="L70" i="3"/>
  <c r="M36" i="3"/>
  <c r="L17" i="3"/>
  <c r="E25" i="4" l="1"/>
  <c r="F353" i="4"/>
  <c r="F362" i="4"/>
  <c r="F343" i="4"/>
  <c r="F103" i="4"/>
  <c r="F175" i="4"/>
  <c r="D30" i="4"/>
  <c r="D300" i="4"/>
  <c r="D35" i="4"/>
  <c r="D33" i="4" s="1"/>
  <c r="D31" i="4"/>
  <c r="F31" i="4" s="1"/>
  <c r="F40" i="4"/>
  <c r="D25" i="4"/>
  <c r="D27" i="4"/>
  <c r="E328" i="4"/>
  <c r="F253" i="4"/>
  <c r="F308" i="4"/>
  <c r="D96" i="4"/>
  <c r="D26" i="4" s="1"/>
  <c r="F29" i="4"/>
  <c r="F34" i="4"/>
  <c r="E28" i="4"/>
  <c r="D249" i="4"/>
  <c r="F249" i="4" s="1"/>
  <c r="F148" i="4"/>
  <c r="F118" i="4"/>
  <c r="E98" i="4"/>
  <c r="F98" i="4" s="1"/>
  <c r="E97" i="4"/>
  <c r="E27" i="4" s="1"/>
  <c r="F44" i="4"/>
  <c r="E43" i="4"/>
  <c r="F43" i="4" s="1"/>
  <c r="E39" i="4"/>
  <c r="D328" i="4"/>
  <c r="D299" i="4"/>
  <c r="E263" i="4"/>
  <c r="F263" i="4" s="1"/>
  <c r="F265" i="4"/>
  <c r="D318" i="4"/>
  <c r="F318" i="4" s="1"/>
  <c r="E144" i="4"/>
  <c r="F164" i="4"/>
  <c r="E163" i="4"/>
  <c r="F163" i="4" s="1"/>
  <c r="D143" i="4"/>
  <c r="D139" i="4"/>
  <c r="F332" i="4"/>
  <c r="E302" i="4"/>
  <c r="D203" i="4"/>
  <c r="F203" i="4" s="1"/>
  <c r="F204" i="4"/>
  <c r="E142" i="4"/>
  <c r="F147" i="4"/>
  <c r="F329" i="4"/>
  <c r="D140" i="4"/>
  <c r="F30" i="4"/>
  <c r="F73" i="4"/>
  <c r="F358" i="4"/>
  <c r="F141" i="4"/>
  <c r="F228" i="4"/>
  <c r="D22" i="4"/>
  <c r="F95" i="4"/>
  <c r="D38" i="4"/>
  <c r="D24" i="4"/>
  <c r="D301" i="4"/>
  <c r="D303" i="4"/>
  <c r="F304" i="4"/>
  <c r="E303" i="4"/>
  <c r="E299" i="4"/>
  <c r="E250" i="4"/>
  <c r="F94" i="4"/>
  <c r="F101" i="4"/>
  <c r="E96" i="4"/>
  <c r="F330" i="4"/>
  <c r="E300" i="4"/>
  <c r="D173" i="4"/>
  <c r="F173" i="4" s="1"/>
  <c r="E75" i="2"/>
  <c r="F300" i="4" l="1"/>
  <c r="E24" i="4"/>
  <c r="D93" i="4"/>
  <c r="D19" i="4"/>
  <c r="E93" i="4"/>
  <c r="F93" i="4" s="1"/>
  <c r="E26" i="4"/>
  <c r="F328" i="4"/>
  <c r="E20" i="4"/>
  <c r="D248" i="4"/>
  <c r="E9" i="4"/>
  <c r="F302" i="4"/>
  <c r="E22" i="4"/>
  <c r="F22" i="4" s="1"/>
  <c r="F301" i="4"/>
  <c r="F303" i="4"/>
  <c r="D28" i="4"/>
  <c r="H8" i="4" s="1"/>
  <c r="D20" i="4"/>
  <c r="F97" i="4"/>
  <c r="F15" i="4"/>
  <c r="F299" i="4"/>
  <c r="E298" i="4"/>
  <c r="F39" i="4"/>
  <c r="E38" i="4"/>
  <c r="F38" i="4" s="1"/>
  <c r="D23" i="4"/>
  <c r="H7" i="4" s="1"/>
  <c r="F25" i="4"/>
  <c r="F13" i="4"/>
  <c r="F140" i="4"/>
  <c r="F142" i="4"/>
  <c r="D138" i="4"/>
  <c r="F144" i="4"/>
  <c r="E139" i="4"/>
  <c r="E143" i="4"/>
  <c r="F143" i="4" s="1"/>
  <c r="D298" i="4"/>
  <c r="F96" i="4"/>
  <c r="E21" i="4"/>
  <c r="E248" i="4"/>
  <c r="F250" i="4"/>
  <c r="H9" i="4"/>
  <c r="F33" i="4"/>
  <c r="D21" i="4"/>
  <c r="E367" i="2"/>
  <c r="E362" i="2" s="1"/>
  <c r="D367" i="2"/>
  <c r="D366" i="2"/>
  <c r="F365" i="2"/>
  <c r="E365" i="2"/>
  <c r="D365" i="2"/>
  <c r="F364" i="2"/>
  <c r="E364" i="2"/>
  <c r="E359" i="2" s="1"/>
  <c r="D364" i="2"/>
  <c r="D362" i="2"/>
  <c r="E361" i="2"/>
  <c r="E360" i="2"/>
  <c r="F360" i="2" s="1"/>
  <c r="D360" i="2"/>
  <c r="D359" i="2"/>
  <c r="D357" i="2"/>
  <c r="D356" i="2"/>
  <c r="F356" i="2" s="1"/>
  <c r="E355" i="2"/>
  <c r="D355" i="2"/>
  <c r="E354" i="2"/>
  <c r="D354" i="2"/>
  <c r="D352" i="2"/>
  <c r="D351" i="2"/>
  <c r="E350" i="2"/>
  <c r="D350" i="2"/>
  <c r="E349" i="2"/>
  <c r="F349" i="2" s="1"/>
  <c r="D349" i="2"/>
  <c r="E347" i="2"/>
  <c r="D347" i="2"/>
  <c r="D346" i="2"/>
  <c r="D345" i="2"/>
  <c r="F344" i="2"/>
  <c r="E344" i="2"/>
  <c r="D344" i="2"/>
  <c r="D343" i="2" s="1"/>
  <c r="D342" i="2"/>
  <c r="D341" i="2"/>
  <c r="F340" i="2"/>
  <c r="E340" i="2"/>
  <c r="D340" i="2"/>
  <c r="D339" i="2"/>
  <c r="F338" i="2"/>
  <c r="E338" i="2"/>
  <c r="D338" i="2"/>
  <c r="D337" i="2"/>
  <c r="D336" i="2"/>
  <c r="D331" i="2" s="1"/>
  <c r="E335" i="2"/>
  <c r="F335" i="2" s="1"/>
  <c r="D335" i="2"/>
  <c r="F334" i="2"/>
  <c r="E334" i="2"/>
  <c r="D334" i="2"/>
  <c r="E333" i="2"/>
  <c r="D332" i="2"/>
  <c r="E331" i="2"/>
  <c r="E329" i="2"/>
  <c r="D327" i="2"/>
  <c r="F327" i="2" s="1"/>
  <c r="D326" i="2"/>
  <c r="D325" i="2"/>
  <c r="D324" i="2"/>
  <c r="F324" i="2" s="1"/>
  <c r="E323" i="2"/>
  <c r="E322" i="2"/>
  <c r="D322" i="2"/>
  <c r="F322" i="2" s="1"/>
  <c r="E321" i="2"/>
  <c r="D321" i="2"/>
  <c r="E320" i="2"/>
  <c r="D320" i="2"/>
  <c r="E319" i="2"/>
  <c r="D317" i="2"/>
  <c r="D316" i="2"/>
  <c r="D306" i="2" s="1"/>
  <c r="E315" i="2"/>
  <c r="F315" i="2" s="1"/>
  <c r="D315" i="2"/>
  <c r="F314" i="2"/>
  <c r="E314" i="2"/>
  <c r="D314" i="2"/>
  <c r="E313" i="2"/>
  <c r="E312" i="2"/>
  <c r="E307" i="2" s="1"/>
  <c r="D312" i="2"/>
  <c r="D308" i="2" s="1"/>
  <c r="D311" i="2"/>
  <c r="D310" i="2"/>
  <c r="E309" i="2"/>
  <c r="D309" i="2"/>
  <c r="D304" i="2" s="1"/>
  <c r="E306" i="2"/>
  <c r="E301" i="2" s="1"/>
  <c r="D305" i="2"/>
  <c r="Q303" i="2"/>
  <c r="P303" i="2"/>
  <c r="O303" i="2"/>
  <c r="N303" i="2"/>
  <c r="M303" i="2"/>
  <c r="L303" i="2"/>
  <c r="D297" i="2"/>
  <c r="D296" i="2"/>
  <c r="L295" i="2"/>
  <c r="E295" i="2"/>
  <c r="F295" i="2" s="1"/>
  <c r="D295" i="2"/>
  <c r="D294" i="2"/>
  <c r="D293" i="2" s="1"/>
  <c r="D292" i="2"/>
  <c r="D291" i="2"/>
  <c r="F290" i="2"/>
  <c r="E290" i="2"/>
  <c r="D290" i="2"/>
  <c r="D289" i="2"/>
  <c r="F288" i="2"/>
  <c r="E288" i="2"/>
  <c r="D288" i="2"/>
  <c r="D287" i="2"/>
  <c r="D286" i="2"/>
  <c r="E285" i="2"/>
  <c r="F285" i="2" s="1"/>
  <c r="D285" i="2"/>
  <c r="D284" i="2"/>
  <c r="E283" i="2"/>
  <c r="D282" i="2"/>
  <c r="D281" i="2"/>
  <c r="E280" i="2"/>
  <c r="D280" i="2"/>
  <c r="F280" i="2" s="1"/>
  <c r="D279" i="2"/>
  <c r="E278" i="2"/>
  <c r="D277" i="2"/>
  <c r="D276" i="2"/>
  <c r="E275" i="2"/>
  <c r="F275" i="2" s="1"/>
  <c r="D275" i="2"/>
  <c r="D274" i="2"/>
  <c r="D273" i="2" s="1"/>
  <c r="D272" i="2"/>
  <c r="D267" i="2" s="1"/>
  <c r="D271" i="2"/>
  <c r="L270" i="2"/>
  <c r="E270" i="2"/>
  <c r="F270" i="2" s="1"/>
  <c r="D270" i="2"/>
  <c r="D269" i="2"/>
  <c r="E268" i="2"/>
  <c r="E267" i="2"/>
  <c r="E266" i="2"/>
  <c r="Q265" i="2"/>
  <c r="P265" i="2"/>
  <c r="O265" i="2"/>
  <c r="N265" i="2"/>
  <c r="M265" i="2"/>
  <c r="L265" i="2"/>
  <c r="E264" i="2"/>
  <c r="D262" i="2"/>
  <c r="D261" i="2"/>
  <c r="D256" i="2" s="1"/>
  <c r="D260" i="2"/>
  <c r="E259" i="2"/>
  <c r="D259" i="2"/>
  <c r="E258" i="2"/>
  <c r="E257" i="2"/>
  <c r="E252" i="2" s="1"/>
  <c r="D257" i="2"/>
  <c r="E256" i="2"/>
  <c r="E255" i="2"/>
  <c r="D255" i="2"/>
  <c r="E254" i="2"/>
  <c r="D254" i="2"/>
  <c r="Q253" i="2"/>
  <c r="P253" i="2"/>
  <c r="O253" i="2"/>
  <c r="N253" i="2"/>
  <c r="M253" i="2"/>
  <c r="L253" i="2"/>
  <c r="E251" i="2"/>
  <c r="E249" i="2"/>
  <c r="D247" i="2"/>
  <c r="F246" i="2"/>
  <c r="D246" i="2"/>
  <c r="F245" i="2"/>
  <c r="D245" i="2"/>
  <c r="F244" i="2"/>
  <c r="D244" i="2"/>
  <c r="E243" i="2"/>
  <c r="D243" i="2"/>
  <c r="F243" i="2" s="1"/>
  <c r="D242" i="2"/>
  <c r="D241" i="2"/>
  <c r="D231" i="2" s="1"/>
  <c r="D240" i="2"/>
  <c r="D239" i="2"/>
  <c r="D238" i="2" s="1"/>
  <c r="E238" i="2"/>
  <c r="D237" i="2"/>
  <c r="F236" i="2"/>
  <c r="D236" i="2"/>
  <c r="F235" i="2"/>
  <c r="D235" i="2"/>
  <c r="F234" i="2"/>
  <c r="D234" i="2"/>
  <c r="D229" i="2" s="1"/>
  <c r="E233" i="2"/>
  <c r="D233" i="2"/>
  <c r="F233" i="2" s="1"/>
  <c r="E232" i="2"/>
  <c r="D232" i="2"/>
  <c r="E231" i="2"/>
  <c r="E230" i="2"/>
  <c r="D230" i="2"/>
  <c r="F230" i="2" s="1"/>
  <c r="E229" i="2"/>
  <c r="F229" i="2" s="1"/>
  <c r="D227" i="2"/>
  <c r="D226" i="2"/>
  <c r="D223" i="2" s="1"/>
  <c r="D225" i="2"/>
  <c r="F224" i="2"/>
  <c r="D224" i="2"/>
  <c r="F223" i="2"/>
  <c r="E223" i="2"/>
  <c r="D222" i="2"/>
  <c r="D221" i="2"/>
  <c r="D206" i="2" s="1"/>
  <c r="D220" i="2"/>
  <c r="D219" i="2"/>
  <c r="E218" i="2"/>
  <c r="D217" i="2"/>
  <c r="D216" i="2"/>
  <c r="D215" i="2"/>
  <c r="D214" i="2"/>
  <c r="D213" i="2" s="1"/>
  <c r="E213" i="2"/>
  <c r="D212" i="2"/>
  <c r="D211" i="2"/>
  <c r="D210" i="2"/>
  <c r="D209" i="2"/>
  <c r="E208" i="2"/>
  <c r="D208" i="2"/>
  <c r="E207" i="2"/>
  <c r="D207" i="2"/>
  <c r="E206" i="2"/>
  <c r="E205" i="2"/>
  <c r="D205" i="2"/>
  <c r="E204" i="2"/>
  <c r="D202" i="2"/>
  <c r="D201" i="2"/>
  <c r="D200" i="2"/>
  <c r="D199" i="2"/>
  <c r="D198" i="2" s="1"/>
  <c r="D197" i="2"/>
  <c r="D196" i="2"/>
  <c r="D195" i="2"/>
  <c r="D193" i="2" s="1"/>
  <c r="D194" i="2"/>
  <c r="D192" i="2"/>
  <c r="D191" i="2"/>
  <c r="D188" i="2" s="1"/>
  <c r="D190" i="2"/>
  <c r="F189" i="2"/>
  <c r="D189" i="2"/>
  <c r="F188" i="2"/>
  <c r="E188" i="2"/>
  <c r="D187" i="2"/>
  <c r="D186" i="2"/>
  <c r="D185" i="2"/>
  <c r="F185" i="2" s="1"/>
  <c r="D184" i="2"/>
  <c r="E183" i="2"/>
  <c r="F182" i="2"/>
  <c r="D182" i="2"/>
  <c r="D177" i="2" s="1"/>
  <c r="D181" i="2"/>
  <c r="D180" i="2"/>
  <c r="F179" i="2"/>
  <c r="D179" i="2"/>
  <c r="E178" i="2"/>
  <c r="D178" i="2"/>
  <c r="F178" i="2" s="1"/>
  <c r="E177" i="2"/>
  <c r="F177" i="2" s="1"/>
  <c r="E176" i="2"/>
  <c r="E175" i="2"/>
  <c r="E174" i="2"/>
  <c r="D172" i="2"/>
  <c r="D171" i="2"/>
  <c r="D170" i="2"/>
  <c r="E169" i="2"/>
  <c r="D169" i="2"/>
  <c r="E168" i="2"/>
  <c r="D167" i="2"/>
  <c r="D163" i="2" s="1"/>
  <c r="D166" i="2"/>
  <c r="D165" i="2"/>
  <c r="Q164" i="2"/>
  <c r="P164" i="2"/>
  <c r="O164" i="2"/>
  <c r="N164" i="2"/>
  <c r="M164" i="2"/>
  <c r="L164" i="2"/>
  <c r="E164" i="2"/>
  <c r="F164" i="2" s="1"/>
  <c r="D164" i="2"/>
  <c r="D162" i="2"/>
  <c r="D161" i="2"/>
  <c r="D160" i="2"/>
  <c r="F160" i="2" s="1"/>
  <c r="E159" i="2"/>
  <c r="D159" i="2"/>
  <c r="D158" i="2"/>
  <c r="D157" i="2"/>
  <c r="D156" i="2"/>
  <c r="D146" i="2" s="1"/>
  <c r="S155" i="2"/>
  <c r="Q155" i="2"/>
  <c r="P155" i="2"/>
  <c r="O155" i="2"/>
  <c r="N155" i="2"/>
  <c r="M155" i="2"/>
  <c r="L155" i="2"/>
  <c r="D155" i="2"/>
  <c r="Q154" i="2"/>
  <c r="P154" i="2"/>
  <c r="O154" i="2"/>
  <c r="N154" i="2"/>
  <c r="M154" i="2"/>
  <c r="L154" i="2"/>
  <c r="D154" i="2"/>
  <c r="F154" i="2" s="1"/>
  <c r="E153" i="2"/>
  <c r="E152" i="2"/>
  <c r="D152" i="2"/>
  <c r="D151" i="2"/>
  <c r="D150" i="2"/>
  <c r="Q149" i="2"/>
  <c r="P149" i="2"/>
  <c r="O149" i="2"/>
  <c r="N149" i="2"/>
  <c r="M149" i="2"/>
  <c r="L149" i="2"/>
  <c r="E149" i="2"/>
  <c r="F149" i="2" s="1"/>
  <c r="D149" i="2"/>
  <c r="E147" i="2"/>
  <c r="E146" i="2"/>
  <c r="E141" i="2" s="1"/>
  <c r="E145" i="2"/>
  <c r="E144" i="2"/>
  <c r="E140" i="2"/>
  <c r="Q138" i="2"/>
  <c r="O138" i="2"/>
  <c r="N138" i="2"/>
  <c r="M138" i="2"/>
  <c r="D137" i="2"/>
  <c r="D136" i="2"/>
  <c r="D135" i="2"/>
  <c r="D134" i="2"/>
  <c r="E133" i="2"/>
  <c r="D132" i="2"/>
  <c r="E131" i="2"/>
  <c r="F131" i="2" s="1"/>
  <c r="D131" i="2"/>
  <c r="F130" i="2"/>
  <c r="E130" i="2"/>
  <c r="D130" i="2"/>
  <c r="E129" i="2"/>
  <c r="D129" i="2"/>
  <c r="D128" i="2"/>
  <c r="D127" i="2"/>
  <c r="D126" i="2"/>
  <c r="D121" i="2" s="1"/>
  <c r="D125" i="2"/>
  <c r="D124" i="2"/>
  <c r="E123" i="2"/>
  <c r="E122" i="2"/>
  <c r="D122" i="2"/>
  <c r="E121" i="2"/>
  <c r="F121" i="2" s="1"/>
  <c r="E120" i="2"/>
  <c r="E119" i="2"/>
  <c r="D117" i="2"/>
  <c r="D116" i="2"/>
  <c r="E115" i="2"/>
  <c r="D115" i="2"/>
  <c r="E114" i="2"/>
  <c r="D114" i="2"/>
  <c r="E112" i="2"/>
  <c r="F112" i="2" s="1"/>
  <c r="D112" i="2"/>
  <c r="D111" i="2"/>
  <c r="F110" i="2"/>
  <c r="E110" i="2"/>
  <c r="D110" i="2"/>
  <c r="E109" i="2"/>
  <c r="D109" i="2"/>
  <c r="D108" i="2"/>
  <c r="D107" i="2"/>
  <c r="E106" i="2"/>
  <c r="D106" i="2"/>
  <c r="E105" i="2"/>
  <c r="F105" i="2" s="1"/>
  <c r="D105" i="2"/>
  <c r="D104" i="2"/>
  <c r="E103" i="2"/>
  <c r="D102" i="2"/>
  <c r="E101" i="2"/>
  <c r="D100" i="2"/>
  <c r="Q95" i="2"/>
  <c r="P95" i="2"/>
  <c r="O95" i="2"/>
  <c r="N95" i="2"/>
  <c r="M95" i="2"/>
  <c r="L95" i="2"/>
  <c r="Q94" i="2"/>
  <c r="P94" i="2"/>
  <c r="O94" i="2"/>
  <c r="N94" i="2"/>
  <c r="M94" i="2"/>
  <c r="L94" i="2"/>
  <c r="D92" i="2"/>
  <c r="D91" i="2"/>
  <c r="D90" i="2"/>
  <c r="D88" i="2" s="1"/>
  <c r="D89" i="2"/>
  <c r="E88" i="2"/>
  <c r="D87" i="2"/>
  <c r="D86" i="2"/>
  <c r="D85" i="2"/>
  <c r="D83" i="2" s="1"/>
  <c r="E84" i="2"/>
  <c r="D84" i="2"/>
  <c r="D82" i="2"/>
  <c r="D81" i="2"/>
  <c r="D80" i="2"/>
  <c r="D79" i="2"/>
  <c r="D74" i="2" s="1"/>
  <c r="E78" i="2"/>
  <c r="E77" i="2"/>
  <c r="D77" i="2"/>
  <c r="E76" i="2"/>
  <c r="D76" i="2"/>
  <c r="D75" i="2"/>
  <c r="D40" i="2" s="1"/>
  <c r="E74" i="2"/>
  <c r="D72" i="2"/>
  <c r="D71" i="2"/>
  <c r="E70" i="2"/>
  <c r="F70" i="2" s="1"/>
  <c r="D70" i="2"/>
  <c r="F69" i="2"/>
  <c r="E69" i="2"/>
  <c r="D69" i="2"/>
  <c r="E68" i="2"/>
  <c r="D67" i="2"/>
  <c r="D66" i="2"/>
  <c r="E65" i="2"/>
  <c r="D65" i="2"/>
  <c r="F65" i="2" s="1"/>
  <c r="D64" i="2"/>
  <c r="D63" i="2" s="1"/>
  <c r="E63" i="2"/>
  <c r="F63" i="2" s="1"/>
  <c r="D62" i="2"/>
  <c r="D61" i="2"/>
  <c r="F60" i="2"/>
  <c r="E60" i="2"/>
  <c r="D60" i="2"/>
  <c r="D59" i="2"/>
  <c r="F58" i="2"/>
  <c r="E58" i="2"/>
  <c r="D58" i="2"/>
  <c r="E57" i="2"/>
  <c r="E53" i="2" s="1"/>
  <c r="D57" i="2"/>
  <c r="D56" i="2"/>
  <c r="D46" i="2" s="1"/>
  <c r="D41" i="2" s="1"/>
  <c r="D55" i="2"/>
  <c r="F54" i="2"/>
  <c r="E54" i="2"/>
  <c r="D54" i="2"/>
  <c r="D53" i="2" s="1"/>
  <c r="D52" i="2"/>
  <c r="D47" i="2" s="1"/>
  <c r="D42" i="2" s="1"/>
  <c r="D51" i="2"/>
  <c r="F50" i="2"/>
  <c r="E50" i="2"/>
  <c r="D50" i="2"/>
  <c r="D49" i="2"/>
  <c r="F48" i="2"/>
  <c r="E48" i="2"/>
  <c r="D48" i="2"/>
  <c r="E47" i="2"/>
  <c r="E46" i="2"/>
  <c r="D45" i="2"/>
  <c r="E44" i="2"/>
  <c r="E39" i="2" s="1"/>
  <c r="E41" i="2"/>
  <c r="Q40" i="2"/>
  <c r="P40" i="2"/>
  <c r="O40" i="2"/>
  <c r="N40" i="2"/>
  <c r="M40" i="2"/>
  <c r="L40" i="2"/>
  <c r="Q39" i="2"/>
  <c r="P39" i="2"/>
  <c r="O39" i="2"/>
  <c r="N39" i="2"/>
  <c r="M39" i="2"/>
  <c r="L39" i="2"/>
  <c r="E37" i="2"/>
  <c r="F37" i="2" s="1"/>
  <c r="D37" i="2"/>
  <c r="E36" i="2"/>
  <c r="D36" i="2"/>
  <c r="E35" i="2"/>
  <c r="E33" i="2" s="1"/>
  <c r="D35" i="2"/>
  <c r="E34" i="2"/>
  <c r="F32" i="2"/>
  <c r="E32" i="2"/>
  <c r="D32" i="2"/>
  <c r="E31" i="2"/>
  <c r="E30" i="2"/>
  <c r="E29" i="2"/>
  <c r="E15" i="2"/>
  <c r="E14" i="2"/>
  <c r="E13" i="2" s="1"/>
  <c r="E12" i="2"/>
  <c r="Q11" i="2"/>
  <c r="G9" i="2"/>
  <c r="D9" i="2"/>
  <c r="G8" i="2"/>
  <c r="D8" i="2"/>
  <c r="G7" i="2"/>
  <c r="D7" i="2"/>
  <c r="D6" i="2"/>
  <c r="D5" i="2"/>
  <c r="D18" i="4" l="1"/>
  <c r="F248" i="4"/>
  <c r="F367" i="2"/>
  <c r="E8" i="4"/>
  <c r="E6" i="4"/>
  <c r="E363" i="2"/>
  <c r="F28" i="4"/>
  <c r="E7" i="4"/>
  <c r="F20" i="4"/>
  <c r="F21" i="4"/>
  <c r="E102" i="2"/>
  <c r="F27" i="4"/>
  <c r="F14" i="4"/>
  <c r="F26" i="4"/>
  <c r="F298" i="4"/>
  <c r="E138" i="4"/>
  <c r="F138" i="4" s="1"/>
  <c r="F139" i="4"/>
  <c r="E19" i="4"/>
  <c r="F24" i="4"/>
  <c r="E23" i="4"/>
  <c r="E42" i="2"/>
  <c r="F42" i="2" s="1"/>
  <c r="D73" i="2"/>
  <c r="F53" i="2"/>
  <c r="F31" i="2"/>
  <c r="D25" i="2"/>
  <c r="E96" i="2"/>
  <c r="F119" i="2"/>
  <c r="E118" i="2"/>
  <c r="D145" i="2"/>
  <c r="F155" i="2"/>
  <c r="F174" i="2"/>
  <c r="D218" i="2"/>
  <c r="D363" i="2"/>
  <c r="F363" i="2" s="1"/>
  <c r="D361" i="2"/>
  <c r="D358" i="2" s="1"/>
  <c r="E11" i="2"/>
  <c r="E26" i="2"/>
  <c r="F14" i="2" s="1"/>
  <c r="F47" i="2"/>
  <c r="F57" i="2"/>
  <c r="D97" i="2"/>
  <c r="D27" i="2" s="1"/>
  <c r="D103" i="2"/>
  <c r="D99" i="2"/>
  <c r="E99" i="2"/>
  <c r="F109" i="2"/>
  <c r="E108" i="2"/>
  <c r="F108" i="2" s="1"/>
  <c r="F114" i="2"/>
  <c r="D113" i="2"/>
  <c r="F129" i="2"/>
  <c r="E128" i="2"/>
  <c r="F128" i="2" s="1"/>
  <c r="D141" i="2"/>
  <c r="F141" i="2" s="1"/>
  <c r="S154" i="2"/>
  <c r="F159" i="2"/>
  <c r="E158" i="2"/>
  <c r="F158" i="2" s="1"/>
  <c r="F168" i="2"/>
  <c r="D175" i="2"/>
  <c r="F231" i="2"/>
  <c r="E250" i="2"/>
  <c r="D265" i="2"/>
  <c r="E273" i="2"/>
  <c r="F273" i="2" s="1"/>
  <c r="D266" i="2"/>
  <c r="D251" i="2" s="1"/>
  <c r="E293" i="2"/>
  <c r="F293" i="2" s="1"/>
  <c r="D313" i="2"/>
  <c r="F313" i="2" s="1"/>
  <c r="F319" i="2"/>
  <c r="E353" i="2"/>
  <c r="F355" i="2"/>
  <c r="F103" i="2"/>
  <c r="D68" i="2"/>
  <c r="F68" i="2" s="1"/>
  <c r="D78" i="2"/>
  <c r="D120" i="2"/>
  <c r="F120" i="2" s="1"/>
  <c r="D133" i="2"/>
  <c r="E143" i="2"/>
  <c r="E139" i="2"/>
  <c r="E142" i="2"/>
  <c r="F147" i="2"/>
  <c r="L138" i="2"/>
  <c r="P138" i="2"/>
  <c r="D147" i="2"/>
  <c r="D142" i="2" s="1"/>
  <c r="F152" i="2"/>
  <c r="D148" i="2"/>
  <c r="F169" i="2"/>
  <c r="D168" i="2"/>
  <c r="D176" i="2"/>
  <c r="D31" i="2" s="1"/>
  <c r="F184" i="2"/>
  <c r="D183" i="2"/>
  <c r="F183" i="2" s="1"/>
  <c r="E203" i="2"/>
  <c r="D228" i="2"/>
  <c r="D253" i="2"/>
  <c r="F254" i="2"/>
  <c r="F259" i="2"/>
  <c r="D258" i="2"/>
  <c r="F258" i="2" s="1"/>
  <c r="D300" i="2"/>
  <c r="F312" i="2"/>
  <c r="D307" i="2"/>
  <c r="D302" i="2" s="1"/>
  <c r="D301" i="2"/>
  <c r="F301" i="2" s="1"/>
  <c r="F347" i="2"/>
  <c r="E332" i="2"/>
  <c r="F350" i="2"/>
  <c r="D348" i="2"/>
  <c r="D330" i="2"/>
  <c r="F354" i="2"/>
  <c r="D353" i="2"/>
  <c r="F362" i="2"/>
  <c r="D101" i="2"/>
  <c r="D96" i="2" s="1"/>
  <c r="D26" i="2" s="1"/>
  <c r="F106" i="2"/>
  <c r="E113" i="2"/>
  <c r="F113" i="2" s="1"/>
  <c r="F115" i="2"/>
  <c r="E263" i="2"/>
  <c r="F331" i="2"/>
  <c r="E28" i="2"/>
  <c r="D44" i="2"/>
  <c r="E45" i="2"/>
  <c r="F74" i="2"/>
  <c r="E73" i="2"/>
  <c r="F84" i="2"/>
  <c r="E83" i="2"/>
  <c r="F83" i="2" s="1"/>
  <c r="D95" i="2"/>
  <c r="D119" i="2"/>
  <c r="D118" i="2" s="1"/>
  <c r="D123" i="2"/>
  <c r="R155" i="2"/>
  <c r="D174" i="2"/>
  <c r="D204" i="2"/>
  <c r="D203" i="2" s="1"/>
  <c r="E253" i="2"/>
  <c r="F253" i="2" s="1"/>
  <c r="D252" i="2"/>
  <c r="D268" i="2"/>
  <c r="F268" i="2" s="1"/>
  <c r="D264" i="2"/>
  <c r="D263" i="2" s="1"/>
  <c r="D278" i="2"/>
  <c r="F278" i="2" s="1"/>
  <c r="D283" i="2"/>
  <c r="F283" i="2" s="1"/>
  <c r="E304" i="2"/>
  <c r="F309" i="2"/>
  <c r="E308" i="2"/>
  <c r="F308" i="2" s="1"/>
  <c r="D333" i="2"/>
  <c r="F333" i="2" s="1"/>
  <c r="E343" i="2"/>
  <c r="F343" i="2" s="1"/>
  <c r="F359" i="2"/>
  <c r="E358" i="2"/>
  <c r="E100" i="2"/>
  <c r="E265" i="2"/>
  <c r="F265" i="2" s="1"/>
  <c r="E305" i="2"/>
  <c r="D319" i="2"/>
  <c r="R154" i="2"/>
  <c r="D144" i="2"/>
  <c r="E148" i="2"/>
  <c r="F148" i="2" s="1"/>
  <c r="D153" i="2"/>
  <c r="F153" i="2" s="1"/>
  <c r="E163" i="2"/>
  <c r="F163" i="2" s="1"/>
  <c r="E173" i="2"/>
  <c r="E228" i="2"/>
  <c r="F228" i="2" s="1"/>
  <c r="E318" i="2"/>
  <c r="D323" i="2"/>
  <c r="F323" i="2" s="1"/>
  <c r="D329" i="2"/>
  <c r="D328" i="2" s="1"/>
  <c r="E330" i="2"/>
  <c r="F330" i="2" s="1"/>
  <c r="E348" i="2"/>
  <c r="F348" i="2" s="1"/>
  <c r="E18" i="4" l="1"/>
  <c r="F18" i="4" s="1"/>
  <c r="E5" i="4"/>
  <c r="E97" i="2"/>
  <c r="E27" i="2" s="1"/>
  <c r="F27" i="2" s="1"/>
  <c r="F102" i="2"/>
  <c r="F19" i="4"/>
  <c r="F23" i="4"/>
  <c r="F11" i="4"/>
  <c r="F73" i="2"/>
  <c r="F305" i="2"/>
  <c r="E300" i="2"/>
  <c r="F300" i="2" s="1"/>
  <c r="D43" i="2"/>
  <c r="D39" i="2"/>
  <c r="F250" i="2"/>
  <c r="D139" i="2"/>
  <c r="D143" i="2"/>
  <c r="F304" i="2"/>
  <c r="E303" i="2"/>
  <c r="E299" i="2"/>
  <c r="D173" i="2"/>
  <c r="F173" i="2" s="1"/>
  <c r="D29" i="2"/>
  <c r="D249" i="2"/>
  <c r="F203" i="2"/>
  <c r="F144" i="2"/>
  <c r="L264" i="2"/>
  <c r="D250" i="2"/>
  <c r="F96" i="2"/>
  <c r="F263" i="2"/>
  <c r="F329" i="2"/>
  <c r="F143" i="2"/>
  <c r="D98" i="2"/>
  <c r="D94" i="2"/>
  <c r="D93" i="2" s="1"/>
  <c r="F100" i="2"/>
  <c r="E95" i="2"/>
  <c r="F95" i="2" s="1"/>
  <c r="F204" i="2"/>
  <c r="F142" i="2"/>
  <c r="F307" i="2"/>
  <c r="F44" i="2"/>
  <c r="D140" i="2"/>
  <c r="F140" i="2" s="1"/>
  <c r="F145" i="2"/>
  <c r="F101" i="2"/>
  <c r="D22" i="2"/>
  <c r="E9" i="2" s="1"/>
  <c r="D21" i="2"/>
  <c r="E8" i="2" s="1"/>
  <c r="F332" i="2"/>
  <c r="E302" i="2"/>
  <c r="F26" i="2"/>
  <c r="E248" i="2"/>
  <c r="D318" i="2"/>
  <c r="F318" i="2" s="1"/>
  <c r="D34" i="2"/>
  <c r="D299" i="2"/>
  <c r="D298" i="2" s="1"/>
  <c r="F358" i="2"/>
  <c r="E40" i="2"/>
  <c r="F45" i="2"/>
  <c r="E328" i="2"/>
  <c r="F328" i="2" s="1"/>
  <c r="F139" i="2"/>
  <c r="E138" i="2"/>
  <c r="F353" i="2"/>
  <c r="F175" i="2"/>
  <c r="D30" i="2"/>
  <c r="F30" i="2" s="1"/>
  <c r="F99" i="2"/>
  <c r="E98" i="2"/>
  <c r="F98" i="2" s="1"/>
  <c r="E94" i="2"/>
  <c r="F97" i="2"/>
  <c r="E43" i="2"/>
  <c r="F43" i="2" s="1"/>
  <c r="F118" i="2"/>
  <c r="D303" i="2"/>
  <c r="E21" i="2"/>
  <c r="F21" i="2" s="1"/>
  <c r="F15" i="2" l="1"/>
  <c r="E93" i="2"/>
  <c r="F93" i="2" s="1"/>
  <c r="F94" i="2"/>
  <c r="E24" i="2"/>
  <c r="E19" i="2"/>
  <c r="D28" i="2"/>
  <c r="F29" i="2"/>
  <c r="F34" i="2"/>
  <c r="D33" i="2"/>
  <c r="F302" i="2"/>
  <c r="E22" i="2"/>
  <c r="F22" i="2" s="1"/>
  <c r="D19" i="2"/>
  <c r="D38" i="2"/>
  <c r="D24" i="2"/>
  <c r="D23" i="2" s="1"/>
  <c r="H7" i="2" s="1"/>
  <c r="F39" i="2"/>
  <c r="E20" i="2"/>
  <c r="F20" i="2" s="1"/>
  <c r="E25" i="2"/>
  <c r="F40" i="2"/>
  <c r="E38" i="2"/>
  <c r="D248" i="2"/>
  <c r="F248" i="2" s="1"/>
  <c r="F249" i="2"/>
  <c r="F299" i="2"/>
  <c r="E298" i="2"/>
  <c r="F298" i="2" s="1"/>
  <c r="D138" i="2"/>
  <c r="F138" i="2" s="1"/>
  <c r="F303" i="2"/>
  <c r="D20" i="2"/>
  <c r="E7" i="2" s="1"/>
  <c r="F38" i="2" l="1"/>
  <c r="E6" i="2"/>
  <c r="D18" i="2"/>
  <c r="E5" i="2" s="1"/>
  <c r="F24" i="2"/>
  <c r="E23" i="2"/>
  <c r="F12" i="2"/>
  <c r="F19" i="2"/>
  <c r="E18" i="2"/>
  <c r="F18" i="2" s="1"/>
  <c r="H9" i="2"/>
  <c r="F33" i="2"/>
  <c r="F25" i="2"/>
  <c r="F13" i="2"/>
  <c r="H8" i="2"/>
  <c r="F28" i="2"/>
  <c r="F23" i="2" l="1"/>
  <c r="F11" i="2"/>
  <c r="F367" i="1" l="1"/>
  <c r="F365" i="1"/>
  <c r="D363" i="1"/>
  <c r="D362" i="1"/>
  <c r="E361" i="1"/>
  <c r="D361" i="1"/>
  <c r="D360" i="1"/>
  <c r="E359" i="1"/>
  <c r="F356" i="1"/>
  <c r="F355" i="1"/>
  <c r="F354" i="1"/>
  <c r="F350" i="1"/>
  <c r="F349" i="1"/>
  <c r="D348" i="1"/>
  <c r="E348" i="1"/>
  <c r="F347" i="1"/>
  <c r="F344" i="1"/>
  <c r="D343" i="1"/>
  <c r="F340" i="1"/>
  <c r="D338" i="1"/>
  <c r="E338" i="1"/>
  <c r="F335" i="1"/>
  <c r="D330" i="1"/>
  <c r="F334" i="1"/>
  <c r="D333" i="1"/>
  <c r="E332" i="1"/>
  <c r="D332" i="1"/>
  <c r="E331" i="1"/>
  <c r="D331" i="1"/>
  <c r="E330" i="1"/>
  <c r="F330" i="1" s="1"/>
  <c r="D329" i="1"/>
  <c r="F327" i="1"/>
  <c r="D327" i="1"/>
  <c r="D326" i="1"/>
  <c r="D321" i="1" s="1"/>
  <c r="D325" i="1"/>
  <c r="F324" i="1"/>
  <c r="D324" i="1"/>
  <c r="E323" i="1"/>
  <c r="D323" i="1"/>
  <c r="F323" i="1" s="1"/>
  <c r="E322" i="1"/>
  <c r="F322" i="1" s="1"/>
  <c r="D322" i="1"/>
  <c r="E321" i="1"/>
  <c r="E320" i="1"/>
  <c r="D320" i="1"/>
  <c r="F319" i="1"/>
  <c r="E319" i="1"/>
  <c r="D319" i="1"/>
  <c r="E318" i="1"/>
  <c r="F315" i="1"/>
  <c r="F314" i="1"/>
  <c r="D313" i="1"/>
  <c r="F312" i="1"/>
  <c r="E304" i="1"/>
  <c r="D308" i="1"/>
  <c r="E308" i="1"/>
  <c r="D307" i="1"/>
  <c r="D302" i="1" s="1"/>
  <c r="E306" i="1"/>
  <c r="D306" i="1"/>
  <c r="D301" i="1" s="1"/>
  <c r="E305" i="1"/>
  <c r="D305" i="1"/>
  <c r="Q303" i="1"/>
  <c r="P303" i="1"/>
  <c r="O303" i="1"/>
  <c r="N303" i="1"/>
  <c r="M303" i="1"/>
  <c r="L303" i="1"/>
  <c r="L295" i="1"/>
  <c r="F295" i="1"/>
  <c r="E293" i="1"/>
  <c r="D293" i="1"/>
  <c r="F290" i="1"/>
  <c r="D288" i="1"/>
  <c r="E288" i="1"/>
  <c r="F288" i="1" s="1"/>
  <c r="F285" i="1"/>
  <c r="F283" i="1"/>
  <c r="E283" i="1"/>
  <c r="D283" i="1"/>
  <c r="F280" i="1"/>
  <c r="D278" i="1"/>
  <c r="E278" i="1"/>
  <c r="F278" i="1" s="1"/>
  <c r="F275" i="1"/>
  <c r="E273" i="1"/>
  <c r="D273" i="1"/>
  <c r="F273" i="1" s="1"/>
  <c r="L270" i="1"/>
  <c r="F270" i="1"/>
  <c r="E268" i="1"/>
  <c r="F268" i="1" s="1"/>
  <c r="D268" i="1"/>
  <c r="E267" i="1"/>
  <c r="D267" i="1"/>
  <c r="E266" i="1"/>
  <c r="E251" i="1" s="1"/>
  <c r="D266" i="1"/>
  <c r="Q265" i="1"/>
  <c r="P265" i="1"/>
  <c r="O265" i="1"/>
  <c r="N265" i="1"/>
  <c r="M265" i="1"/>
  <c r="L265" i="1"/>
  <c r="E265" i="1"/>
  <c r="D265" i="1"/>
  <c r="L264" i="1" s="1"/>
  <c r="E264" i="1"/>
  <c r="E249" i="1" s="1"/>
  <c r="D264" i="1"/>
  <c r="D258" i="1"/>
  <c r="F259" i="1"/>
  <c r="E257" i="1"/>
  <c r="D257" i="1"/>
  <c r="E256" i="1"/>
  <c r="D256" i="1"/>
  <c r="E255" i="1"/>
  <c r="D255" i="1"/>
  <c r="E254" i="1"/>
  <c r="D254" i="1"/>
  <c r="Q253" i="1"/>
  <c r="P253" i="1"/>
  <c r="O253" i="1"/>
  <c r="N253" i="1"/>
  <c r="M253" i="1"/>
  <c r="L253" i="1"/>
  <c r="E253" i="1"/>
  <c r="D253" i="1"/>
  <c r="F253" i="1" s="1"/>
  <c r="E252" i="1"/>
  <c r="D247" i="1"/>
  <c r="D246" i="1"/>
  <c r="F246" i="1" s="1"/>
  <c r="D245" i="1"/>
  <c r="F245" i="1" s="1"/>
  <c r="D244" i="1"/>
  <c r="F244" i="1" s="1"/>
  <c r="E243" i="1"/>
  <c r="D242" i="1"/>
  <c r="D241" i="1"/>
  <c r="D240" i="1"/>
  <c r="D238" i="1" s="1"/>
  <c r="D239" i="1"/>
  <c r="E238" i="1"/>
  <c r="D237" i="1"/>
  <c r="D232" i="1" s="1"/>
  <c r="D236" i="1"/>
  <c r="F236" i="1" s="1"/>
  <c r="D235" i="1"/>
  <c r="D230" i="1" s="1"/>
  <c r="D234" i="1"/>
  <c r="F234" i="1" s="1"/>
  <c r="E233" i="1"/>
  <c r="E232" i="1"/>
  <c r="E231" i="1"/>
  <c r="D231" i="1"/>
  <c r="F231" i="1" s="1"/>
  <c r="E230" i="1"/>
  <c r="F230" i="1" s="1"/>
  <c r="E229" i="1"/>
  <c r="E228" i="1"/>
  <c r="D227" i="1"/>
  <c r="D226" i="1"/>
  <c r="D225" i="1"/>
  <c r="D224" i="1"/>
  <c r="F224" i="1" s="1"/>
  <c r="E223" i="1"/>
  <c r="D222" i="1"/>
  <c r="D221" i="1"/>
  <c r="D220" i="1"/>
  <c r="D218" i="1" s="1"/>
  <c r="D219" i="1"/>
  <c r="E218" i="1"/>
  <c r="D217" i="1"/>
  <c r="D216" i="1"/>
  <c r="D215" i="1"/>
  <c r="D213" i="1" s="1"/>
  <c r="D214" i="1"/>
  <c r="E213" i="1"/>
  <c r="D212" i="1"/>
  <c r="D207" i="1" s="1"/>
  <c r="D211" i="1"/>
  <c r="D210" i="1"/>
  <c r="D208" i="1" s="1"/>
  <c r="D209" i="1"/>
  <c r="E208" i="1"/>
  <c r="E207" i="1"/>
  <c r="E206" i="1"/>
  <c r="D206" i="1"/>
  <c r="E205" i="1"/>
  <c r="E203" i="1" s="1"/>
  <c r="E204" i="1"/>
  <c r="D204" i="1"/>
  <c r="D202" i="1"/>
  <c r="D201" i="1"/>
  <c r="D200" i="1"/>
  <c r="D199" i="1"/>
  <c r="D198" i="1"/>
  <c r="D197" i="1"/>
  <c r="D196" i="1"/>
  <c r="D195" i="1"/>
  <c r="D194" i="1"/>
  <c r="D193" i="1" s="1"/>
  <c r="D192" i="1"/>
  <c r="D191" i="1"/>
  <c r="D190" i="1"/>
  <c r="D189" i="1"/>
  <c r="F189" i="1" s="1"/>
  <c r="E188" i="1"/>
  <c r="D187" i="1"/>
  <c r="D186" i="1"/>
  <c r="F185" i="1"/>
  <c r="D185" i="1"/>
  <c r="F184" i="1"/>
  <c r="D184" i="1"/>
  <c r="F183" i="1"/>
  <c r="E183" i="1"/>
  <c r="D183" i="1"/>
  <c r="D182" i="1"/>
  <c r="F182" i="1" s="1"/>
  <c r="D181" i="1"/>
  <c r="D180" i="1"/>
  <c r="D175" i="1" s="1"/>
  <c r="D179" i="1"/>
  <c r="F179" i="1" s="1"/>
  <c r="E178" i="1"/>
  <c r="E177" i="1"/>
  <c r="E176" i="1"/>
  <c r="D176" i="1"/>
  <c r="E175" i="1"/>
  <c r="F175" i="1" s="1"/>
  <c r="E174" i="1"/>
  <c r="E173" i="1"/>
  <c r="F169" i="1"/>
  <c r="E168" i="1"/>
  <c r="Q164" i="1"/>
  <c r="P164" i="1"/>
  <c r="O164" i="1"/>
  <c r="N164" i="1"/>
  <c r="M164" i="1"/>
  <c r="L164" i="1"/>
  <c r="F164" i="1"/>
  <c r="D163" i="1"/>
  <c r="F160" i="1"/>
  <c r="E144" i="1"/>
  <c r="Q155" i="1"/>
  <c r="P155" i="1"/>
  <c r="P138" i="1" s="1"/>
  <c r="O155" i="1"/>
  <c r="N155" i="1"/>
  <c r="N138" i="1" s="1"/>
  <c r="M155" i="1"/>
  <c r="L155" i="1"/>
  <c r="L138" i="1" s="1"/>
  <c r="E153" i="1"/>
  <c r="S154" i="1"/>
  <c r="Q154" i="1"/>
  <c r="P154" i="1"/>
  <c r="O154" i="1"/>
  <c r="N154" i="1"/>
  <c r="M154" i="1"/>
  <c r="L154" i="1"/>
  <c r="F154" i="1"/>
  <c r="R154" i="1"/>
  <c r="D153" i="1"/>
  <c r="E147" i="1"/>
  <c r="D146" i="1"/>
  <c r="D141" i="1" s="1"/>
  <c r="Q149" i="1"/>
  <c r="P149" i="1"/>
  <c r="O149" i="1"/>
  <c r="O138" i="1" s="1"/>
  <c r="N149" i="1"/>
  <c r="M149" i="1"/>
  <c r="L149" i="1"/>
  <c r="F149" i="1"/>
  <c r="E148" i="1"/>
  <c r="D147" i="1"/>
  <c r="E146" i="1"/>
  <c r="E141" i="1" s="1"/>
  <c r="E145" i="1"/>
  <c r="D144" i="1"/>
  <c r="Q138" i="1"/>
  <c r="M138" i="1"/>
  <c r="D137" i="1"/>
  <c r="D136" i="1"/>
  <c r="D135" i="1"/>
  <c r="D134" i="1"/>
  <c r="D133" i="1" s="1"/>
  <c r="E133" i="1"/>
  <c r="F131" i="1"/>
  <c r="D122" i="1"/>
  <c r="E123" i="1"/>
  <c r="E122" i="1"/>
  <c r="E121" i="1"/>
  <c r="F121" i="1" s="1"/>
  <c r="D121" i="1"/>
  <c r="E120" i="1"/>
  <c r="E119" i="1"/>
  <c r="F114" i="1"/>
  <c r="E113" i="1"/>
  <c r="F112" i="1"/>
  <c r="D103" i="1"/>
  <c r="F106" i="1"/>
  <c r="E101" i="1"/>
  <c r="F105" i="1"/>
  <c r="E103" i="1"/>
  <c r="F103" i="1" s="1"/>
  <c r="D101" i="1"/>
  <c r="E99" i="1"/>
  <c r="Q95" i="1"/>
  <c r="P95" i="1"/>
  <c r="O95" i="1"/>
  <c r="N95" i="1"/>
  <c r="M95" i="1"/>
  <c r="L95" i="1"/>
  <c r="Q94" i="1"/>
  <c r="P94" i="1"/>
  <c r="O94" i="1"/>
  <c r="N94" i="1"/>
  <c r="M94" i="1"/>
  <c r="L94" i="1"/>
  <c r="D92" i="1"/>
  <c r="D91" i="1"/>
  <c r="D90" i="1"/>
  <c r="D89" i="1"/>
  <c r="E88" i="1"/>
  <c r="E83" i="1"/>
  <c r="D82" i="1"/>
  <c r="D77" i="1" s="1"/>
  <c r="D81" i="1"/>
  <c r="D80" i="1"/>
  <c r="D79" i="1"/>
  <c r="E78" i="1"/>
  <c r="E77" i="1"/>
  <c r="E76" i="1"/>
  <c r="D76" i="1"/>
  <c r="E75" i="1"/>
  <c r="E74" i="1"/>
  <c r="D74" i="1"/>
  <c r="F70" i="1"/>
  <c r="D68" i="1"/>
  <c r="F65" i="1"/>
  <c r="E63" i="1"/>
  <c r="F63" i="1" s="1"/>
  <c r="D63" i="1"/>
  <c r="F60" i="1"/>
  <c r="E58" i="1"/>
  <c r="F58" i="1" s="1"/>
  <c r="D58" i="1"/>
  <c r="F57" i="1"/>
  <c r="D46" i="1"/>
  <c r="D41" i="1" s="1"/>
  <c r="F54" i="1"/>
  <c r="D53" i="1"/>
  <c r="F50" i="1"/>
  <c r="E48" i="1"/>
  <c r="D48" i="1"/>
  <c r="E47" i="1"/>
  <c r="D47" i="1"/>
  <c r="D42" i="1" s="1"/>
  <c r="E46" i="1"/>
  <c r="E45" i="1"/>
  <c r="D45" i="1"/>
  <c r="D44" i="1"/>
  <c r="Q40" i="1"/>
  <c r="P40" i="1"/>
  <c r="O40" i="1"/>
  <c r="N40" i="1"/>
  <c r="M40" i="1"/>
  <c r="L40" i="1"/>
  <c r="Q39" i="1"/>
  <c r="P39" i="1"/>
  <c r="O39" i="1"/>
  <c r="N39" i="1"/>
  <c r="M39" i="1"/>
  <c r="L39" i="1"/>
  <c r="E37" i="1"/>
  <c r="F37" i="1" s="1"/>
  <c r="D37" i="1"/>
  <c r="E36" i="1"/>
  <c r="D36" i="1"/>
  <c r="E35" i="1"/>
  <c r="D35" i="1"/>
  <c r="E34" i="1"/>
  <c r="D34" i="1"/>
  <c r="F34" i="1" s="1"/>
  <c r="E33" i="1"/>
  <c r="E32" i="1"/>
  <c r="E31" i="1"/>
  <c r="F31" i="1" s="1"/>
  <c r="D31" i="1"/>
  <c r="E30" i="1"/>
  <c r="D30" i="1"/>
  <c r="F30" i="1" s="1"/>
  <c r="E29" i="1"/>
  <c r="E28" i="1"/>
  <c r="E15" i="1"/>
  <c r="E14" i="1"/>
  <c r="E13" i="1" s="1"/>
  <c r="E12" i="1"/>
  <c r="Q11" i="1"/>
  <c r="G9" i="1"/>
  <c r="D9" i="1"/>
  <c r="G8" i="1"/>
  <c r="D8" i="1"/>
  <c r="G7" i="1"/>
  <c r="D7" i="1"/>
  <c r="D6" i="1"/>
  <c r="D5" i="1" s="1"/>
  <c r="F331" i="1" l="1"/>
  <c r="D328" i="1"/>
  <c r="F332" i="1"/>
  <c r="F338" i="1"/>
  <c r="E301" i="1"/>
  <c r="F301" i="1" s="1"/>
  <c r="F305" i="1"/>
  <c r="D300" i="1"/>
  <c r="F293" i="1"/>
  <c r="D250" i="1"/>
  <c r="D263" i="1"/>
  <c r="F265" i="1"/>
  <c r="E263" i="1"/>
  <c r="D251" i="1"/>
  <c r="D249" i="1"/>
  <c r="F249" i="1" s="1"/>
  <c r="E250" i="1"/>
  <c r="E248" i="1" s="1"/>
  <c r="D252" i="1"/>
  <c r="F254" i="1"/>
  <c r="F141" i="1"/>
  <c r="E94" i="1"/>
  <c r="D96" i="1"/>
  <c r="E73" i="1"/>
  <c r="E41" i="1"/>
  <c r="D39" i="1"/>
  <c r="F47" i="1"/>
  <c r="F45" i="1"/>
  <c r="E40" i="1"/>
  <c r="E42" i="1"/>
  <c r="F42" i="1" s="1"/>
  <c r="F48" i="1"/>
  <c r="D21" i="1"/>
  <c r="E8" i="1" s="1"/>
  <c r="D26" i="1"/>
  <c r="D43" i="1"/>
  <c r="E44" i="1"/>
  <c r="E53" i="1"/>
  <c r="F53" i="1" s="1"/>
  <c r="D88" i="1"/>
  <c r="D102" i="1"/>
  <c r="D97" i="1" s="1"/>
  <c r="D27" i="1" s="1"/>
  <c r="F110" i="1"/>
  <c r="E108" i="1"/>
  <c r="F130" i="1"/>
  <c r="E128" i="1"/>
  <c r="E11" i="1"/>
  <c r="D33" i="1"/>
  <c r="F33" i="1" s="1"/>
  <c r="F74" i="1"/>
  <c r="D75" i="1"/>
  <c r="D40" i="1" s="1"/>
  <c r="F40" i="1" s="1"/>
  <c r="E102" i="1"/>
  <c r="D100" i="1"/>
  <c r="F101" i="1"/>
  <c r="E96" i="1"/>
  <c r="D108" i="1"/>
  <c r="F109" i="1"/>
  <c r="D99" i="1"/>
  <c r="F99" i="1" s="1"/>
  <c r="F115" i="1"/>
  <c r="D113" i="1"/>
  <c r="F113" i="1" s="1"/>
  <c r="D119" i="1"/>
  <c r="D128" i="1"/>
  <c r="F129" i="1"/>
  <c r="E140" i="1"/>
  <c r="D148" i="1"/>
  <c r="F148" i="1" s="1"/>
  <c r="E142" i="1"/>
  <c r="F147" i="1"/>
  <c r="F153" i="1"/>
  <c r="F308" i="1"/>
  <c r="D318" i="1"/>
  <c r="F318" i="1" s="1"/>
  <c r="F348" i="1"/>
  <c r="D78" i="1"/>
  <c r="D83" i="1"/>
  <c r="F83" i="1" s="1"/>
  <c r="F84" i="1"/>
  <c r="E100" i="1"/>
  <c r="D123" i="1"/>
  <c r="F69" i="1"/>
  <c r="E68" i="1"/>
  <c r="F68" i="1" s="1"/>
  <c r="E118" i="1"/>
  <c r="F144" i="1"/>
  <c r="E143" i="1"/>
  <c r="E139" i="1"/>
  <c r="R155" i="1"/>
  <c r="D158" i="1"/>
  <c r="D174" i="1"/>
  <c r="D177" i="1"/>
  <c r="F204" i="1"/>
  <c r="D229" i="1"/>
  <c r="D304" i="1"/>
  <c r="F304" i="1" s="1"/>
  <c r="F309" i="1"/>
  <c r="D353" i="1"/>
  <c r="D359" i="1"/>
  <c r="E360" i="1"/>
  <c r="E363" i="1"/>
  <c r="F363" i="1" s="1"/>
  <c r="F364" i="1"/>
  <c r="D120" i="1"/>
  <c r="F120" i="1" s="1"/>
  <c r="D145" i="1"/>
  <c r="F145" i="1" s="1"/>
  <c r="F152" i="1"/>
  <c r="F155" i="1"/>
  <c r="S155" i="1"/>
  <c r="E158" i="1"/>
  <c r="F158" i="1" s="1"/>
  <c r="F159" i="1"/>
  <c r="D168" i="1"/>
  <c r="F168" i="1" s="1"/>
  <c r="D188" i="1"/>
  <c r="F188" i="1" s="1"/>
  <c r="D205" i="1"/>
  <c r="D203" i="1" s="1"/>
  <c r="F203" i="1" s="1"/>
  <c r="D223" i="1"/>
  <c r="F223" i="1" s="1"/>
  <c r="F235" i="1"/>
  <c r="E258" i="1"/>
  <c r="F258" i="1" s="1"/>
  <c r="E307" i="1"/>
  <c r="E353" i="1"/>
  <c r="F353" i="1" s="1"/>
  <c r="E362" i="1"/>
  <c r="F362" i="1" s="1"/>
  <c r="E163" i="1"/>
  <c r="F163" i="1" s="1"/>
  <c r="D178" i="1"/>
  <c r="F178" i="1" s="1"/>
  <c r="D233" i="1"/>
  <c r="F233" i="1" s="1"/>
  <c r="D243" i="1"/>
  <c r="F243" i="1" s="1"/>
  <c r="E313" i="1"/>
  <c r="F313" i="1" s="1"/>
  <c r="E329" i="1"/>
  <c r="E333" i="1"/>
  <c r="F333" i="1" s="1"/>
  <c r="E343" i="1"/>
  <c r="F343" i="1" s="1"/>
  <c r="F263" i="1" l="1"/>
  <c r="D248" i="1"/>
  <c r="F248" i="1" s="1"/>
  <c r="F250" i="1"/>
  <c r="F108" i="1"/>
  <c r="F359" i="1"/>
  <c r="D358" i="1"/>
  <c r="F229" i="1"/>
  <c r="D228" i="1"/>
  <c r="F228" i="1" s="1"/>
  <c r="D118" i="1"/>
  <c r="F119" i="1"/>
  <c r="D95" i="1"/>
  <c r="D143" i="1"/>
  <c r="F143" i="1" s="1"/>
  <c r="E39" i="1"/>
  <c r="F44" i="1"/>
  <c r="E43" i="1"/>
  <c r="F43" i="1" s="1"/>
  <c r="F329" i="1"/>
  <c r="E328" i="1"/>
  <c r="F328" i="1" s="1"/>
  <c r="E95" i="1"/>
  <c r="E98" i="1"/>
  <c r="F100" i="1"/>
  <c r="F102" i="1"/>
  <c r="E97" i="1"/>
  <c r="F128" i="1"/>
  <c r="H9" i="1"/>
  <c r="F177" i="1"/>
  <c r="D32" i="1"/>
  <c r="F32" i="1" s="1"/>
  <c r="E299" i="1"/>
  <c r="D142" i="1"/>
  <c r="D22" i="1" s="1"/>
  <c r="E9" i="1" s="1"/>
  <c r="E21" i="1"/>
  <c r="F21" i="1" s="1"/>
  <c r="E26" i="1"/>
  <c r="F96" i="1"/>
  <c r="F307" i="1"/>
  <c r="E302" i="1"/>
  <c r="F302" i="1" s="1"/>
  <c r="D140" i="1"/>
  <c r="F140" i="1" s="1"/>
  <c r="E300" i="1"/>
  <c r="F300" i="1" s="1"/>
  <c r="E358" i="1"/>
  <c r="F358" i="1" s="1"/>
  <c r="F360" i="1"/>
  <c r="D303" i="1"/>
  <c r="D299" i="1"/>
  <c r="D298" i="1" s="1"/>
  <c r="F174" i="1"/>
  <c r="D173" i="1"/>
  <c r="F173" i="1" s="1"/>
  <c r="D29" i="1"/>
  <c r="E303" i="1"/>
  <c r="E138" i="1"/>
  <c r="F118" i="1"/>
  <c r="D98" i="1"/>
  <c r="D94" i="1"/>
  <c r="D139" i="1"/>
  <c r="D73" i="1"/>
  <c r="F73" i="1" s="1"/>
  <c r="D38" i="1"/>
  <c r="F303" i="1" l="1"/>
  <c r="D138" i="1"/>
  <c r="F138" i="1" s="1"/>
  <c r="F142" i="1"/>
  <c r="D20" i="1"/>
  <c r="E7" i="1" s="1"/>
  <c r="D25" i="1"/>
  <c r="F29" i="1"/>
  <c r="D28" i="1"/>
  <c r="F97" i="1"/>
  <c r="E22" i="1"/>
  <c r="F22" i="1" s="1"/>
  <c r="E27" i="1"/>
  <c r="F95" i="1"/>
  <c r="E20" i="1"/>
  <c r="F20" i="1" s="1"/>
  <c r="E25" i="1"/>
  <c r="E93" i="1"/>
  <c r="F139" i="1"/>
  <c r="F39" i="1"/>
  <c r="E38" i="1"/>
  <c r="F38" i="1" s="1"/>
  <c r="E24" i="1"/>
  <c r="E19" i="1"/>
  <c r="D93" i="1"/>
  <c r="F94" i="1"/>
  <c r="D24" i="1"/>
  <c r="D19" i="1"/>
  <c r="F26" i="1"/>
  <c r="F14" i="1"/>
  <c r="F299" i="1"/>
  <c r="E298" i="1"/>
  <c r="F298" i="1" s="1"/>
  <c r="F98" i="1"/>
  <c r="D23" i="1" l="1"/>
  <c r="H7" i="1" s="1"/>
  <c r="F25" i="1"/>
  <c r="F13" i="1"/>
  <c r="D18" i="1"/>
  <c r="E5" i="1" s="1"/>
  <c r="E6" i="1"/>
  <c r="H8" i="1"/>
  <c r="F28" i="1"/>
  <c r="F19" i="1"/>
  <c r="E18" i="1"/>
  <c r="F24" i="1"/>
  <c r="E23" i="1"/>
  <c r="F12" i="1"/>
  <c r="F93" i="1"/>
  <c r="F15" i="1"/>
  <c r="F27" i="1"/>
  <c r="F18" i="1" l="1"/>
  <c r="F23" i="1"/>
  <c r="F11" i="1"/>
</calcChain>
</file>

<file path=xl/comments1.xml><?xml version="1.0" encoding="utf-8"?>
<comments xmlns="http://schemas.openxmlformats.org/spreadsheetml/2006/main">
  <authors>
    <author>Законова Елена Владимировна</author>
  </authors>
  <commentList>
    <comment ref="G17" authorId="0" shapeId="0">
      <text>
        <r>
          <rPr>
            <b/>
            <sz val="9"/>
            <color indexed="81"/>
            <rFont val="Tahoma"/>
            <family val="2"/>
            <charset val="204"/>
          </rPr>
          <t>Законова Елена Владимировна:</t>
        </r>
        <r>
          <rPr>
            <sz val="9"/>
            <color indexed="81"/>
            <rFont val="Tahoma"/>
            <family val="2"/>
            <charset val="204"/>
          </rPr>
          <t xml:space="preserve">
дети в доо + ципр + КЦ =3326 / (3326 + 436 дети на очереди на 01.09.21) на 01.01.2022 в очереди 0
</t>
        </r>
      </text>
    </comment>
    <comment ref="F29" authorId="0" shapeId="0">
      <text>
        <r>
          <rPr>
            <b/>
            <sz val="9"/>
            <color indexed="81"/>
            <rFont val="Tahoma"/>
            <family val="2"/>
            <charset val="204"/>
          </rPr>
          <t>Законова Елена Владимировна:</t>
        </r>
        <r>
          <rPr>
            <sz val="9"/>
            <color indexed="81"/>
            <rFont val="Tahoma"/>
            <family val="2"/>
            <charset val="204"/>
          </rPr>
          <t xml:space="preserve">
паспорт регионального проекта "Успех каждого ребенка"
</t>
        </r>
      </text>
    </comment>
    <comment ref="G30" authorId="0" shapeId="0">
      <text>
        <r>
          <rPr>
            <b/>
            <sz val="9"/>
            <color indexed="81"/>
            <rFont val="Tahoma"/>
            <family val="2"/>
            <charset val="204"/>
          </rPr>
          <t>Законова Елена Владимировна:</t>
        </r>
        <r>
          <rPr>
            <sz val="9"/>
            <color indexed="81"/>
            <rFont val="Tahoma"/>
            <family val="2"/>
            <charset val="204"/>
          </rPr>
          <t xml:space="preserve">
5545 численность детей пфдо уо / 8670 общая численность детей от 5 до 18 на сайте пфдо</t>
        </r>
      </text>
    </comment>
    <comment ref="F32" authorId="0" shapeId="0">
      <text>
        <r>
          <rPr>
            <b/>
            <sz val="9"/>
            <color indexed="81"/>
            <rFont val="Tahoma"/>
            <family val="2"/>
            <charset val="204"/>
          </rPr>
          <t>Законова Елена Владимировна:</t>
        </r>
        <r>
          <rPr>
            <sz val="9"/>
            <color indexed="81"/>
            <rFont val="Tahoma"/>
            <family val="2"/>
            <charset val="204"/>
          </rPr>
          <t xml:space="preserve">
численность статистики от 0 до 17 11887 на 01.01.2021 
</t>
        </r>
      </text>
    </comment>
    <comment ref="G42" authorId="0" shapeId="0">
      <text>
        <r>
          <rPr>
            <b/>
            <sz val="9"/>
            <color indexed="81"/>
            <rFont val="Tahoma"/>
            <family val="2"/>
            <charset val="204"/>
          </rPr>
          <t>Законова Елена Владимировна:</t>
        </r>
        <r>
          <rPr>
            <sz val="9"/>
            <color indexed="81"/>
            <rFont val="Tahoma"/>
            <family val="2"/>
            <charset val="204"/>
          </rPr>
          <t xml:space="preserve">
отчеты 3-обр и по гор.питнию</t>
        </r>
      </text>
    </comment>
    <comment ref="F45" authorId="0" shapeId="0">
      <text>
        <r>
          <rPr>
            <b/>
            <sz val="9"/>
            <color indexed="81"/>
            <rFont val="Tahoma"/>
            <family val="2"/>
            <charset val="204"/>
          </rPr>
          <t>Законова Елена Владимировна:</t>
        </r>
        <r>
          <rPr>
            <sz val="9"/>
            <color indexed="81"/>
            <rFont val="Tahoma"/>
            <family val="2"/>
            <charset val="204"/>
          </rPr>
          <t xml:space="preserve">
план по оздоровлению / на численость детей от 6 до 18 по статистике на 01.01.2021</t>
        </r>
      </text>
    </comment>
  </commentList>
</comments>
</file>

<file path=xl/sharedStrings.xml><?xml version="1.0" encoding="utf-8"?>
<sst xmlns="http://schemas.openxmlformats.org/spreadsheetml/2006/main" count="5120" uniqueCount="1007">
  <si>
    <t>Таблица № 11а</t>
  </si>
  <si>
    <t>Сведения о ходе реализации мероприятий муниципальной программы за 6 месяцев, 9 месяцев, отчетный год*</t>
  </si>
  <si>
    <t>мб</t>
  </si>
  <si>
    <t>об</t>
  </si>
  <si>
    <t>уо</t>
  </si>
  <si>
    <t>фб</t>
  </si>
  <si>
    <t>культура</t>
  </si>
  <si>
    <t>вб</t>
  </si>
  <si>
    <t>адм</t>
  </si>
  <si>
    <t>соф-ин ФБ</t>
  </si>
  <si>
    <t>УО</t>
  </si>
  <si>
    <t>кр ИКТ УО</t>
  </si>
  <si>
    <t>соф-ие  ФБ и кр ИКТ УО</t>
  </si>
  <si>
    <t>кр по футбольному полу</t>
  </si>
  <si>
    <t xml:space="preserve"> № п/п</t>
  </si>
  <si>
    <t>Муниципальная программа, подпрограмма, основное мероприятие, мероприятие******</t>
  </si>
  <si>
    <t>Объемы и источники финансирования (тыс. руб.)</t>
  </si>
  <si>
    <t>Степень освоения средств***</t>
  </si>
  <si>
    <t xml:space="preserve"> Результаты выполнения мероприятий </t>
  </si>
  <si>
    <t>Соисполнители, участники, исполнители</t>
  </si>
  <si>
    <t>Причины низкой степени освоения средств*****, невыполнения мероприятий</t>
  </si>
  <si>
    <t>Источ-ник</t>
  </si>
  <si>
    <t>Запланировано на отчетный год</t>
  </si>
  <si>
    <t>Фактическое исполнение**</t>
  </si>
  <si>
    <t>Ожидаемые результаты реализации (краткая характеристика) мероприятий</t>
  </si>
  <si>
    <t>Фактические результаты реализации (краткая характеристика) мероприятий</t>
  </si>
  <si>
    <t>Выполнение (да/нет/ частично)****</t>
  </si>
  <si>
    <t>Муниципальная программа ЗАТО Александровск "Образование ЗАТО Александровск"</t>
  </si>
  <si>
    <t>Всего</t>
  </si>
  <si>
    <t>Количество мероприятий, всего, в т.ч.****:</t>
  </si>
  <si>
    <t>МБ</t>
  </si>
  <si>
    <t>Выполнены в полном объеме</t>
  </si>
  <si>
    <t>ОБ</t>
  </si>
  <si>
    <t>Выполнены частично</t>
  </si>
  <si>
    <t>ФБ</t>
  </si>
  <si>
    <t>Не выполнены</t>
  </si>
  <si>
    <t>ВБС</t>
  </si>
  <si>
    <t>Степень выполнения мероприятий</t>
  </si>
  <si>
    <t>Всего Соисполнитель 1 УО</t>
  </si>
  <si>
    <t>Количество мероприятий, всего, в т.ч.:</t>
  </si>
  <si>
    <t xml:space="preserve">Всего Соисполнитель 2 УКиСМП </t>
  </si>
  <si>
    <t>Всего Соисполнитель 3 ОУиО администрации</t>
  </si>
  <si>
    <t>1.</t>
  </si>
  <si>
    <t xml:space="preserve">Подпрограмма 1«Дошкольное образование» </t>
  </si>
  <si>
    <t>1.1.</t>
  </si>
  <si>
    <t>Основное мероприятие 1.1 "Развитие дошкольного образования"</t>
  </si>
  <si>
    <t>1.1.1.</t>
  </si>
  <si>
    <t xml:space="preserve">Мероприятие 1.1 Организация предоставления общедоступного бесплатного дошкольного образования в муниципальных дошкольных образовательных и общеобразовательных учреждениях </t>
  </si>
  <si>
    <t>Ожидаемые результаты реализации (краткая характеристика) мероприятия в соответствии с планом</t>
  </si>
  <si>
    <t xml:space="preserve">Фактические результаты реализации (краткая характеристика) мероприятия </t>
  </si>
  <si>
    <t>да/нет/ частично</t>
  </si>
  <si>
    <t>1.1.2.</t>
  </si>
  <si>
    <t xml:space="preserve">Мероприятие 1.2 Создание условий для осуществления присмотра и ухода за детьми, содержания детей в муниципальных дошкольных образовательных и общеобразовательных учреждениях </t>
  </si>
  <si>
    <t>1.1.3.</t>
  </si>
  <si>
    <t xml:space="preserve">Мероприятие 1.3 Организация мер по предоставлению и выплате компенсации части родительской платы за присмотр и уход за ребенком в муниципальных дошкольных образовательных и общеобразовательных учреждениях </t>
  </si>
  <si>
    <t>1.1.4.</t>
  </si>
  <si>
    <t>Мероприятие 1.4 Выплата компенсации части родительской платы за присмотр и уход за ребенком в муниципальных дошкольных образовательных и общеобразовательных учреждениях</t>
  </si>
  <si>
    <t>1.1.5.</t>
  </si>
  <si>
    <t>Мероприятие 1.5 Частичная компенсация дополнительных расходов на повышение оплаты труда работников муниципальных учреждений в связи с доведением оплаты труда до минимального размера оплаты труда, установленного федеральным законом от 19.06.2000 № 82-ФЗ «О минимальном размере оплаты труда» (с изменениями), увеличенного на районный коэффициент и процентную надбавку за стаж работы в районах Крайнего Севера</t>
  </si>
  <si>
    <t>1.2.</t>
  </si>
  <si>
    <t>Основное мероприятие 1.2 ""Обеспечение безопасности работы муниципальных дошкольных образовательных учреждений и соответствия их современным требованиям""</t>
  </si>
  <si>
    <t>1.2.1.</t>
  </si>
  <si>
    <t>Мероприятие 2.1 Обеспечение пожарной и электрической безопасности учреждений системы образования</t>
  </si>
  <si>
    <t>1.2.2.</t>
  </si>
  <si>
    <t>Мероприятие 2.2 Обеспечение выполнения требований СанПиН и технической безопасности учреждений системы образования</t>
  </si>
  <si>
    <t>1.2.3.</t>
  </si>
  <si>
    <t>Мероприятие 2.3 Обеспечение антитеррористической и противокриминальной безопасности учреждений системы образования</t>
  </si>
  <si>
    <t>2.</t>
  </si>
  <si>
    <t xml:space="preserve">Подпрограмма 2 «Общее образование» </t>
  </si>
  <si>
    <t>2.1.</t>
  </si>
  <si>
    <t>Основное мероприятие 2.1 "Развитие общего образования"</t>
  </si>
  <si>
    <t>2.1.1.</t>
  </si>
  <si>
    <t>Мероприятие 1.1 Предоставление общедоступного бесплатного начального, основного и среднего общего образования по основным общеобразовательным программам в образовательных учреждениях</t>
  </si>
  <si>
    <t>2.1.2.</t>
  </si>
  <si>
    <t>Мероприятие 1.2 Организация предоставления общедоступного и бесплатного начального общего, основного общего, среднего общего образования по основным образовательным программам (за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t>
  </si>
  <si>
    <t>2.1.3.</t>
  </si>
  <si>
    <t>Мероприятие 1.3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имеющих в соответствии с Законом Мурманской области от 27.12.2004 № 561-01-ЗМО "О мерах социальной поддержки отдельных категорий граждан, работающих в сельских населенных пунктах или поселках городского типа" право на установление повышенных на 25 процентов размеров тарифной ставки, оклада (должностного оклада), установленного работнику по сравнению с тарифными ставками, окладами (должностными окладами) специалистов муниципальных учреждений образования и культуры, занимающихся этим видом деятельности в городских условиях, в соответствии с Перечнем должностей специалистов, работающих в государственных областных и муниципальных учреждениях, имеющих право на получение мер социальной поддержки и (или) установление повышенных размеров тарифных ставок, окладов (должностных окладов) в соответствии с Законом Мурманской области "О мерах социальной поддержки отдельных категорий граждан, работающих в сельских населенных пунктах или поселках городского типа", утвержденным постановлением Правительства Мурманской области от 01.03.2011 № 86-ПП</t>
  </si>
  <si>
    <t>2.2.</t>
  </si>
  <si>
    <t>Основное мероприятие 2.2 "Обеспечение безопасности работы муниципальных дошкольных образовательных учреждений и соответствия их современным требованиям""</t>
  </si>
  <si>
    <t>2.2.1.</t>
  </si>
  <si>
    <t>2.2.2.</t>
  </si>
  <si>
    <t>2.2.3.</t>
  </si>
  <si>
    <t>3.</t>
  </si>
  <si>
    <t xml:space="preserve">Подпрограмма 3 «Дополнительное образование» </t>
  </si>
  <si>
    <t>3.1.</t>
  </si>
  <si>
    <t>Основное мероприятие 3.1 "Дополнительное образование  в сфере образования"</t>
  </si>
  <si>
    <t>3.1.1.</t>
  </si>
  <si>
    <t xml:space="preserve">Мероприятие 1.1 Предоставление дополнительного образования детям в учреждениях дополнительного образования детей </t>
  </si>
  <si>
    <t>3.1.2.</t>
  </si>
  <si>
    <t>Мероприятие 1.2 Частичная компенсация дополнительных расходов на повышение оплаты труда работников муниципальных учреждений в связи с доведением оплаты труда до минимального размера оплаты труда, установленного федеральным законом от 19.06.2000 № 82-ФЗ «О минимальном размере оплаты труда» (с изменениями), увеличенного на районный коэффициент и процентную надбавку за стаж работы в районах Крайнего Севера</t>
  </si>
  <si>
    <t>3.1.3.</t>
  </si>
  <si>
    <t xml:space="preserve">Мероприятие 1.3 Обеспечение сохранения заработной платы труда работников муниципальных учреждений образования, культуры, физической культуры и спорта на уровне, установленном  указами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и от 28.12.2012 № 1688 «О некоторых мерах по реализации государственной политики в сфере защиты детей-сирот и детей, оставшихся без попечения родителей» </t>
  </si>
  <si>
    <t>3.1.4.</t>
  </si>
  <si>
    <t>Мероприятие 1.4 Обеспечение персонифицированного финансирования дополнительного образования детей</t>
  </si>
  <si>
    <t>3.1.5.</t>
  </si>
  <si>
    <t xml:space="preserve">Мероприятие 1.5 Финансовое обеспечение затрат социально-ориентированной некоммерческой организации, реализуемой проект по обеспечению развития системы дополнительного образования детей посредством внедрения механизма персонифицированного финансирования в ЗАТО Александровск </t>
  </si>
  <si>
    <t>3.2.</t>
  </si>
  <si>
    <t>Основное мероприятие 3.2 "Дополнительное образование  в сфере культуры и искусства"</t>
  </si>
  <si>
    <t>3.2.1.</t>
  </si>
  <si>
    <t xml:space="preserve">Мероприятие 2.1 Предоставление дополнительного образования детям в учреждениях дополнительного образования </t>
  </si>
  <si>
    <t>3.2.2.</t>
  </si>
  <si>
    <t xml:space="preserve">Мероприятие 2.2 Обеспечение сохранения заработной платы труда работников муниципальных учреждений образования, культуры, физической культуры и спорта на уровне, установленном  указами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и от 28.12.2012 № 1688 «О некоторых мерах по реализации государственной политики в сфере защиты детей-сирот и детей, оставшихся без попечения родителей» </t>
  </si>
  <si>
    <t>3.2.3.</t>
  </si>
  <si>
    <t>Мероприятие 2.3 Частичная компенсация дополнительных расходов на повышение оплаты труда работников муниципальных учреждений в связи с доведением оплаты труда до минимального размера оплаты труда, установленного федеральным законом от 19.06.2000 № 82-ФЗ «О минимальном размере оплаты труда» (с изменениями), увеличенного на районный коэффициент и процентную надбавку за стаж работы в районах Крайнего Севера</t>
  </si>
  <si>
    <t>3.2.4.</t>
  </si>
  <si>
    <t>Мероприятие 2.4 Обеспечение персонифицированного финансирования дополнительного образования детей</t>
  </si>
  <si>
    <t>3.2.5.</t>
  </si>
  <si>
    <t xml:space="preserve">Мероприятие 2.5 Финансовое обеспечение затрат социально-ориентированной некоммерческой организации, реализуемой проект по обеспечению развития системы дополнительного образования детей посредством внедрения механизма персонифицированного финансирования в ЗАТО Александровск </t>
  </si>
  <si>
    <t>3.3.</t>
  </si>
  <si>
    <t>Основное мероприятие 3.3 "Дополнительное образование  в сфере культуры и искусства"</t>
  </si>
  <si>
    <t>3.3.1.</t>
  </si>
  <si>
    <t>Мероприятие 3.1 Обеспечение пожарной и электрической безопасности учреждений системы образования</t>
  </si>
  <si>
    <t>3.3.2.</t>
  </si>
  <si>
    <t>Мероприятие 3.2 Обеспечение выполнения требований СанПиН и технической безопасности учреждений системы образования</t>
  </si>
  <si>
    <t>3.3.3.</t>
  </si>
  <si>
    <t>Мероприятие 3.3 Обеспечение антитеррористической и противокриминальной безопасности учреждений системы образования</t>
  </si>
  <si>
    <t>3.3.4.</t>
  </si>
  <si>
    <t xml:space="preserve">Мероприятие 3.4 Модернизация материально-технической базы </t>
  </si>
  <si>
    <t>А.1.</t>
  </si>
  <si>
    <t xml:space="preserve">Основное мероприятие А1 "Региональный проект "Культурная среда" </t>
  </si>
  <si>
    <t>А.1.1.</t>
  </si>
  <si>
    <t>Мероприятие 1.1 Капитальный ремонт фасада и кровли здания Детской школы искусств, расположенной по адресу: ул. Колышкина д. 114А в г. Гаджиево</t>
  </si>
  <si>
    <t>А.1.2.</t>
  </si>
  <si>
    <t>Мероприятие 1.2 Капитальный ремонт здания МБУДО "Детская школа искусств г. Полярный", расположенного по адресу: ул. Лунина, д.6 в г. Полярный"</t>
  </si>
  <si>
    <t>А.1.3.</t>
  </si>
  <si>
    <t>Мероприятие 1.3 Обеспечение детских музыкальных, художественных хореографических школ, школ искусств и училищ необходимыми инструментами, оборудованием
и материалами</t>
  </si>
  <si>
    <t>4.</t>
  </si>
  <si>
    <t xml:space="preserve">Подпрограмма 4 «Управление в сфере образования» </t>
  </si>
  <si>
    <t>4.1.</t>
  </si>
  <si>
    <t>Основное мероприятие 4.1 "Осуществление функций и полномочий учредителя муниципальных учреждений сферы образования ЗАТО Александровск"</t>
  </si>
  <si>
    <t>4.1.1.</t>
  </si>
  <si>
    <t>Мероприятие 1.1 Обеспечение исполнения мероприятий в рамках муниципальных программ управления образования</t>
  </si>
  <si>
    <t>4.2.</t>
  </si>
  <si>
    <t>Основное мероприятие 4.2 "Охрана прав детей, оставшихся без попечения родителей"</t>
  </si>
  <si>
    <t>4.2.1.</t>
  </si>
  <si>
    <t>Мероприятие 2.1 Реализация переданных государственных полномочий по опеке и попечительству в отношении несовершеннолетних</t>
  </si>
  <si>
    <t>4.2.2.</t>
  </si>
  <si>
    <t xml:space="preserve">Мероприятие 2.2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 </t>
  </si>
  <si>
    <t>4.2.3.</t>
  </si>
  <si>
    <t>Мероприятие 2.3 Организация предоставления 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</si>
  <si>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4.2.4.</t>
  </si>
  <si>
    <t>Мероприятие 2.4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</si>
  <si>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4.2.5.</t>
  </si>
  <si>
    <t>Мероприятие 2.5 Выплата денежного вознаграждения лицам, осуществляющим постинтернатный патронат в отношении несовершеннолетних и социальный патронат</t>
  </si>
  <si>
    <t>4.2.6.</t>
  </si>
  <si>
    <t xml:space="preserve">Мероприятие 2.6 Содержание ребенка в семье опекуна (попечителя) и приемной семье, а также вознаграждение, причитающееся приемному родителю </t>
  </si>
  <si>
    <t>5.</t>
  </si>
  <si>
    <t xml:space="preserve">Подпрограмма 5 «Иные вопросы в сфере образования» </t>
  </si>
  <si>
    <t>5.1.</t>
  </si>
  <si>
    <t>Основное мероприятие 5.1 "Создание современной информационно-методической базы для учреждений системы образования ЗАТО Александровск"</t>
  </si>
  <si>
    <t>5.1.1.</t>
  </si>
  <si>
    <t>Мероприятие 1.1  Информационно-методическое сопровождение образовательного процесса учреждений системы образования ЗАТО Александровск</t>
  </si>
  <si>
    <t>5.1.2.</t>
  </si>
  <si>
    <t>5.2.</t>
  </si>
  <si>
    <t>Основное мероприятие 5.2 "Обеспечение комплексного и качественного хозяйственно-эксплуатационное обслуживания учреждений системы образования ЗАТО Александровск""</t>
  </si>
  <si>
    <t>5.2.1.</t>
  </si>
  <si>
    <t xml:space="preserve">Мероприятие 2.1 Комплексное и качественное хозяйственно-эксплуатационное обслуживание учреждений системы образования ЗАТО Александровск </t>
  </si>
  <si>
    <t>5.3.</t>
  </si>
  <si>
    <t>Основное мероприятие 5.3 "Создание условий для обеспечения организованным питанием обучающихся на бесплатной и платной основе"</t>
  </si>
  <si>
    <t>5.3.1.</t>
  </si>
  <si>
    <t>Мероприятие 3.1 Предоставление бесплатного молока обучающимся в 1-4 классах МОУ</t>
  </si>
  <si>
    <t>5.3.2.</t>
  </si>
  <si>
    <t>Мероприятие 3.2 Предоставление бесплатного питания отдельным категориям обучающихся МОУ</t>
  </si>
  <si>
    <t>5.3.3.</t>
  </si>
  <si>
    <t>Мероприятие 3.3 Организация и предоставление питания обучающимся МОУ</t>
  </si>
  <si>
    <t>5.3.4.</t>
  </si>
  <si>
    <t>Мероприятие 3.4 Частичная компенсация дополнительных расходов на повышение оплаты труда работников муниципальных учреждений в связи с доведением оплаты труда до минимального размера оплаты труда, установленного федеральным законом от 19.06.2000 № 82-ФЗ «О минимальном размере оплаты труда» (с изменениями), увеличенного на районный коэффициент и процентную надбавку за стаж работы в районах Крайнего Севера</t>
  </si>
  <si>
    <t>5.3.5.</t>
  </si>
  <si>
    <t>Мероприятие 3.5 Организация бесплатного горячего питания обучающихся, получающих начальное общее образование в муниципальных образовательных организациях</t>
  </si>
  <si>
    <t>5.4.</t>
  </si>
  <si>
    <t>Основное мероприятие 5.4 "Создание условий для обеспечения круглогодичного организованного отдыха и оздоровления детей в возрасте от 6 до 18 лет"</t>
  </si>
  <si>
    <t>5.4.1.</t>
  </si>
  <si>
    <t>Мероприятие 4.1 Организация отдыха и оздоровления детей в возрасте от 6 до 18 лет</t>
  </si>
  <si>
    <t xml:space="preserve">*Состав подпрограмм, основных мероприятий и мероприятий, плановые объемы финансирования, ожидаемые результаты реализации (краткая характеристика) мероприятий, соисполнители, участники и исполнители указываются в соответствии с муниципальной программой и (или) планом реализации муниципальной программы в редакции, действующей на конец отчетного периода. </t>
  </si>
  <si>
    <t>**Объемы фактического исполнения указываются в соответствии с фактически понесенными расходами, объемами фактически выполненных работ, оказанных услуг, приобретенных товаров, принятых в установленном порядке конечными исполнителями мероприятий. По мероприятиям, предусматривающим осуществление мер государственной поддержки физическим или юридическим лицам, индивидуальным предпринимателям в форме грантов, субсидий, в случае если срок предоставления отчетности об использования предоставленных средств для их получателей установлен позднее 20 марта года, следующего за годом перечисления средств, объем фактического исполнения указывается на уровне кассового исполнения ГРБС. По мероприятиям, предусматривающим предоставление из областного бюджета местным бюджетам межбюджетных трансфертов, не имеющих целевого назначения, объем фактического исполнения указывается на уровне кассового исполнения ГРБС.</t>
  </si>
  <si>
    <t>***Рассчитывается как отношение объемов фактического исполнения к запланированным объемам, утвержденным в муниципальной программе и плане ее реализации, на конец отчетного периода.</t>
  </si>
  <si>
    <t>****Мероприятие считается выполненным в полном объеме (указывается «Да») в случае, если все запланированные на год функции, работы, услуги выполнены, товары приобретены в полном объеме и в запланированные сроки, фактические результаты реализации мероприятия соответствуют ожидаемым, установленные количественные показатели результативности выполнены не менее чем на 95% от запланированного на год уровня, предусмотренные объемы финансирования по каждому источнику фактически израсходованы не менее чем на 95% от годового объема (кроме случаев наличия обоснования возникновения экономии, в том числе сложившейся по результатам проведения торгов).
    Мероприятие считается выполненным частично (указывается «Частично») в случаях, если реализация мероприятия начата, но запланированные на год функции, работы, услуги выполнены, товары приобретены не в полном объеме и (или) установленные количественные показатели результативности выполнены не менее чем на 30% от предусмотренного на отчетный год уровня и (или) предусмотренные объемы финансирования по всем источникам фактически израсходованы не менее чем на 30% от запланированного на отчетный год объема.
   Мероприятие считается невыполненным (указывается «Нет») в случаях, если реализация мероприятия не начата либо реализация мероприятия начата, но установленные количественные показатели результативности выполнены менее чем на 30% от предусмотренного на отчетный год уровня и (или) предусмотренные объемы финансирования по всем источникам фактически израсходованы менее чем на 30% от запланированного на отчетный год объема.</t>
  </si>
  <si>
    <t>*****Низкой считается степень освоения средств за 6 месяцев ниже 45% от запланированного на отчетный год объема средств, за 9 месяцев - ниже 70%, за отчетный год - ниже 95%.»</t>
  </si>
  <si>
    <t>******По каждому мероприятию, указанному в текстовой части Годовой отчет о ходе реализации и оценке эффективности муниципальной программы в качестве наиболее значимого конкретного результата реализации муниципальной программы, достигнутого за отчетный год, делается соответствующая сноска (* - относиться к наиболее значимому результату реализации госпрограммы)</t>
  </si>
  <si>
    <t xml:space="preserve"> разница на сумму грантов от МОиН МО</t>
  </si>
  <si>
    <t>разница на Гранты от МОиН  по ОО</t>
  </si>
  <si>
    <t>И.о.начальника Управления образования администрации ЗАТО Александровск</t>
  </si>
  <si>
    <t xml:space="preserve"> Кострова С.В.</t>
  </si>
  <si>
    <t>Исп.: Законова Е.В.</t>
  </si>
  <si>
    <t>7-59-86</t>
  </si>
  <si>
    <t>Управление финансов администрации ЗАТО Александровск</t>
  </si>
  <si>
    <t>Исполнение бюджета</t>
  </si>
  <si>
    <t>за период с 01.01.2021г. по 30.09.2021г.</t>
  </si>
  <si>
    <t>Единица измерения: руб.</t>
  </si>
  <si>
    <t>Муниципальная программа, подпрограмма, основное мероприятие, целевая статья, ГРБС</t>
  </si>
  <si>
    <t>Код ведомства</t>
  </si>
  <si>
    <t>Код целевой статьи</t>
  </si>
  <si>
    <t>Признак отнесения к ФБ</t>
  </si>
  <si>
    <t>Сводная бюджетная роспись</t>
  </si>
  <si>
    <t>Сводный лимит бюджетных обязательств</t>
  </si>
  <si>
    <t>Финансирование</t>
  </si>
  <si>
    <t>Кассовый расход ГРБС</t>
  </si>
  <si>
    <t>Степень освоения средств (кассовый расход к СБР), %</t>
  </si>
  <si>
    <t xml:space="preserve"> Муниципальная программа "Образование ЗАТО Александровск"</t>
  </si>
  <si>
    <t xml:space="preserve"> Подпрограмма 1 "Дошкольное образование"</t>
  </si>
  <si>
    <t xml:space="preserve"> Развитие дошкольного образования</t>
  </si>
  <si>
    <t xml:space="preserve"> Расходы на обеспечение деятельности (оказание услуг) подведомственных муниципальных бюджетных и автономных учреждений</t>
  </si>
  <si>
    <t>7411100090</t>
  </si>
  <si>
    <t xml:space="preserve"> Управление образования администрации ЗАТО Александровск</t>
  </si>
  <si>
    <t>918</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</si>
  <si>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</si>
  <si>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7411113060</t>
  </si>
  <si>
    <t xml:space="preserve"> Мероприятия, направленные на профессиональную подготовку, переподготовку и повышение квалификации работников муниципальных учреждений</t>
  </si>
  <si>
    <t>7411120080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</si>
  <si>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</si>
  <si>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7411171100</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</si>
  <si>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</si>
  <si>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7411175310</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</si>
  <si>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</si>
  <si>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7411175360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</si>
  <si>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</si>
  <si>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7411175370</t>
  </si>
  <si>
    <t xml:space="preserve"> Софинансирование за счет средств местного бюджета к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</si>
  <si>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74111S1100</t>
  </si>
  <si>
    <t xml:space="preserve"> Софинансирование за счет средств местного бюджета к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(в размере, превышающем объем расходного обязательства в рамках Соглашения)</t>
  </si>
  <si>
    <t>74111Р1100</t>
  </si>
  <si>
    <t xml:space="preserve"> Обеспечение безопасности работы муниципальных дошкольных образовательных учреждений и соответствия их современным требованиям</t>
  </si>
  <si>
    <t xml:space="preserve"> Капитальный и текущий ремонт объектов муниципальной собственности</t>
  </si>
  <si>
    <t>7411220090</t>
  </si>
  <si>
    <t xml:space="preserve"> Прочие направления расходов муниципальной программы</t>
  </si>
  <si>
    <t>7411229990</t>
  </si>
  <si>
    <t xml:space="preserve"> Подпрограмма 2 "Общее образование"</t>
  </si>
  <si>
    <t xml:space="preserve"> Развитие общего образования</t>
  </si>
  <si>
    <t>7422100090</t>
  </si>
  <si>
    <t>7422113060</t>
  </si>
  <si>
    <t xml:space="preserve"> Компенсация расходов на оплату стоимости проезда и провоза багажа при переезде лиц (работников), а также членов их семей, при заключении (расторжении) трудовых договоров (контрактов) с организациями, финансируемыми из местного бюджета</t>
  </si>
  <si>
    <t>7422113070</t>
  </si>
  <si>
    <t>7422120080</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</si>
  <si>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</si>
  <si>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7422153030</t>
  </si>
  <si>
    <t>7422171100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</si>
  <si>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</si>
  <si>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7422173030</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</si>
  <si>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</si>
  <si>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7422175100</t>
  </si>
  <si>
    <t>7422175310</t>
  </si>
  <si>
    <t>74221S1100</t>
  </si>
  <si>
    <t xml:space="preserve"> Обеспечение безопасности работы муниципальных общеобразовательных учреждениях и соответствия их современным требованиям</t>
  </si>
  <si>
    <t>7422220090</t>
  </si>
  <si>
    <t>7422229990</t>
  </si>
  <si>
    <t xml:space="preserve"> Субсидии на обеспечение комплексной безопасности муниципальных образовательных организаций</t>
  </si>
  <si>
    <t>7422270790</t>
  </si>
  <si>
    <t xml:space="preserve"> Реализация проектов развития социальной и инженерной инфраструктур</t>
  </si>
  <si>
    <t>74222L5940</t>
  </si>
  <si>
    <t xml:space="preserve"> Софинансирование за счет средств местного бюджета к cубсидии на обеспечение комплексной безопасности муниципальных образовательных организаций</t>
  </si>
  <si>
    <t>74222S0790</t>
  </si>
  <si>
    <t xml:space="preserve"> Подпрограмма 3 "Дополнительное образование"</t>
  </si>
  <si>
    <t xml:space="preserve"> Дополнительное образование в сфере образования</t>
  </si>
  <si>
    <t>7433100090</t>
  </si>
  <si>
    <t>7433113060</t>
  </si>
  <si>
    <t>7433120080</t>
  </si>
  <si>
    <t>7433129990</t>
  </si>
  <si>
    <t>7433171100</t>
  </si>
  <si>
    <t>74331S1100</t>
  </si>
  <si>
    <t>74331Р1100</t>
  </si>
  <si>
    <t xml:space="preserve"> Дополнительное образование в сфере культуры и искусства</t>
  </si>
  <si>
    <t>7433200090</t>
  </si>
  <si>
    <t xml:space="preserve"> Управление культуры, спорта и молодежной политики администрации ЗАТО Александровск</t>
  </si>
  <si>
    <t>919</t>
  </si>
  <si>
    <t>7433213060</t>
  </si>
  <si>
    <t>7433220080</t>
  </si>
  <si>
    <t>7433271100</t>
  </si>
  <si>
    <t>74332S1100</t>
  </si>
  <si>
    <t>74332Р1100</t>
  </si>
  <si>
    <t xml:space="preserve"> Обеспечение безопасности работы в муниципальных учреждениях дополнительного образования и соответствия их современным требованиям</t>
  </si>
  <si>
    <t>7433320090</t>
  </si>
  <si>
    <t xml:space="preserve"> Региональный проект "Культурная среда"</t>
  </si>
  <si>
    <t xml:space="preserve"> Государственная поддержка отрасли культуры</t>
  </si>
  <si>
    <t>743A155190</t>
  </si>
  <si>
    <t xml:space="preserve"> Подпрограмма 4 "Управление в сфере образования"</t>
  </si>
  <si>
    <t xml:space="preserve"> Осуществление функций и полномочий учредителя муниципальных учреждений сферы образования ЗАТО Александровск</t>
  </si>
  <si>
    <t xml:space="preserve"> Расходы на выплаты по оплате труда работников органов местного самоуправления</t>
  </si>
  <si>
    <t>7444106010</t>
  </si>
  <si>
    <t xml:space="preserve"> Расходы на обеспечение функций работников органов местного самоуправления</t>
  </si>
  <si>
    <t>7444106030</t>
  </si>
  <si>
    <t xml:space="preserve"> Мероприятия, направленные на профессиональную подготовку, переподготовку и повышение квалификации работников органов местного самоуправления</t>
  </si>
  <si>
    <t>7444106080</t>
  </si>
  <si>
    <t>7444113060</t>
  </si>
  <si>
    <t xml:space="preserve"> Охрана прав детей, оставшихся без попечения родителей</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</si>
  <si>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</si>
  <si>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7444275200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</si>
  <si>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</si>
  <si>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7444275210</t>
  </si>
  <si>
    <t xml:space="preserve"> 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</si>
  <si>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7444275240</t>
  </si>
  <si>
    <t xml:space="preserve"> 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</si>
  <si>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7444275250</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</si>
  <si>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</si>
  <si>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7444275340</t>
  </si>
  <si>
    <t xml:space="preserve"> 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</si>
  <si>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7444275350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</si>
  <si>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</si>
  <si>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7444275520</t>
  </si>
  <si>
    <t xml:space="preserve"> Подпрограмма 5 "Иные вопросы в сфере образования"</t>
  </si>
  <si>
    <t xml:space="preserve"> Создание современной информационно-методической базы для учреждений системы образования ЗАТО Александровск</t>
  </si>
  <si>
    <t>7455100090</t>
  </si>
  <si>
    <t>7455113060</t>
  </si>
  <si>
    <t>7455120080</t>
  </si>
  <si>
    <t>7455171100</t>
  </si>
  <si>
    <t>74551S1100</t>
  </si>
  <si>
    <t>74551Р1100</t>
  </si>
  <si>
    <t xml:space="preserve"> Обеспечение комплексного и качественного хозяйственно-эксплуатационное обслуживания учреждений системы образования ЗАТО Александровск</t>
  </si>
  <si>
    <t>7455200090</t>
  </si>
  <si>
    <t xml:space="preserve"> администрация муниципального образования городской округ закрытое административно-территориальное образование Александровск Мурманской области</t>
  </si>
  <si>
    <t>914</t>
  </si>
  <si>
    <t>7455213060</t>
  </si>
  <si>
    <t>7455229990</t>
  </si>
  <si>
    <t xml:space="preserve"> Создание условий для обеспечения организованным питанием обучающихся на бесплатной и платной основе</t>
  </si>
  <si>
    <t>7455300090</t>
  </si>
  <si>
    <t>7455313060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</si>
  <si>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</si>
  <si>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7455371040</t>
  </si>
  <si>
    <t>7455371100</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</si>
  <si>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</si>
  <si>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7455371250</t>
  </si>
  <si>
    <t xml:space="preserve"> Субвенция на обеспечение бесплатным питанием отдельных категорий обучающихся</t>
  </si>
  <si>
    <t>7455375320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</si>
  <si>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</si>
  <si>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74553L3040</t>
  </si>
  <si>
    <t xml:space="preserve"> Софинансирование за счет средств местного бюджета к субсидии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</si>
  <si>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74553S1040</t>
  </si>
  <si>
    <t>74553S1100</t>
  </si>
  <si>
    <t xml:space="preserve"> Софинансирование за счет средств местного бюджета к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</si>
  <si>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74553S1250</t>
  </si>
  <si>
    <t>74553Р1100</t>
  </si>
  <si>
    <t xml:space="preserve"> Создание условий для обеспечения круглогодичного организованного отдыха и оздоровления детей в возрасте от 6 до 18 лет</t>
  </si>
  <si>
    <t>7455420080</t>
  </si>
  <si>
    <t>7455429990</t>
  </si>
  <si>
    <t xml:space="preserve"> Субсидия на организацию отдыха детей Мурманской области в муниципальных образовательных организациях</t>
  </si>
  <si>
    <t>7455471070</t>
  </si>
  <si>
    <t xml:space="preserve"> Софинансирование за счет средств местного бюджета к субсидии на организацию отдыха детей Мурманской области в муниципальных образовательных организациях</t>
  </si>
  <si>
    <t>74554S1070</t>
  </si>
  <si>
    <t xml:space="preserve"> Муниципальная программа ЗАТО Александровск "Формирование современной городской среды на территории ЗАТО Александровск" на 2018 - 2023 годы</t>
  </si>
  <si>
    <t xml:space="preserve"> Повышение качества организации содержания лестничных сходов, детских площадок, тротуаров, дорожек, дворовых и иных территорий муниципального образования ЗАТО Александровск</t>
  </si>
  <si>
    <t xml:space="preserve"> Обеспечение сохранности, технического обслуживания и содержания прочих объектов благоустройства</t>
  </si>
  <si>
    <t>8302320070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</si>
  <si>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</si>
  <si>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8302377190</t>
  </si>
  <si>
    <t xml:space="preserve"> Улучшение качества освещения улиц на территории муниципального образования ЗАТО Александровск</t>
  </si>
  <si>
    <t xml:space="preserve"> Организация наружного освещения улиц и дворовых территорий муниципального образования</t>
  </si>
  <si>
    <t>8302420060</t>
  </si>
  <si>
    <t xml:space="preserve"> Улучшение технического состояния и приведение в качественное состояние объектов инфраструктуры и благоустройства на территории ЗАТО</t>
  </si>
  <si>
    <t>8302520090</t>
  </si>
  <si>
    <t>8302529990</t>
  </si>
  <si>
    <t xml:space="preserve"> Создание условий и организация обустройства мест массового отдыха населения</t>
  </si>
  <si>
    <t>8302629990</t>
  </si>
  <si>
    <t xml:space="preserve"> Строительство пешеходного моста (г.Полярный, ул.Моисеева - ул.Душенова)</t>
  </si>
  <si>
    <t xml:space="preserve"> Субсидия на софинансирование капитальных вложений в объекты муниципальной собственности</t>
  </si>
  <si>
    <t>8302774000</t>
  </si>
  <si>
    <t xml:space="preserve"> Субсидия на софинансирование капитальных вложений в объекты муниципальной собственности (за счет средств резервного фонда Правительства Мурманской области)</t>
  </si>
  <si>
    <t>830277400U</t>
  </si>
  <si>
    <t xml:space="preserve"> Софинансирование за счет средств местного бюджета к субсидии на софинансирование капитальных вложений в объекты муниципальной собственности</t>
  </si>
  <si>
    <t>83027S4000</t>
  </si>
  <si>
    <t xml:space="preserve"> Софинансирование за счет средств местного бюджета к cубсидии на софинансирование капитальных вложений в объекты муниципальной собственности (за счет средств резервного фонда Правительства Мурманской области)</t>
  </si>
  <si>
    <t>83027S400U</t>
  </si>
  <si>
    <t xml:space="preserve"> Ремонт подъездов и входных групп многоквартирных домов</t>
  </si>
  <si>
    <t xml:space="preserve"> Субсидия бюджетам муниципальных образований на реализацию проектов по поддержке местных инициатив</t>
  </si>
  <si>
    <t>8302871090</t>
  </si>
  <si>
    <t xml:space="preserve"> Софинансирование за счет средств местного бюджета к cубсидии бюджетам муниципальных образований на реализацию проектов по поддержке местных инициатив</t>
  </si>
  <si>
    <t>83028S1090</t>
  </si>
  <si>
    <t xml:space="preserve"> Региональный проект "Формирование комфортной городской среды"</t>
  </si>
  <si>
    <t xml:space="preserve">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</si>
  <si>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830F254240</t>
  </si>
  <si>
    <t xml:space="preserve"> 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</si>
  <si>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830F271210</t>
  </si>
  <si>
    <t xml:space="preserve"> Создание комфортной городской среды в малых городах и исторических поселениях - участниках Всероссийского конкурса лучших проектов создания комфортной городской среды</t>
  </si>
  <si>
    <t>830F277120</t>
  </si>
  <si>
    <t xml:space="preserve"> Софинансирование за счет средств местного бюджета к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</si>
  <si>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830F2S1210</t>
  </si>
  <si>
    <t xml:space="preserve"> Софинансирование за счет средств местного бюджета на создание комфортной городской среды в малых городах и исторических поселениях - участниках Всероссийского конкурса лучших проектов создания комфортной городской среды</t>
  </si>
  <si>
    <t>830F2S7120</t>
  </si>
  <si>
    <t xml:space="preserve"> Муниципальная программа "Культура, спорт и молодежная политика ЗАТО Александровск"</t>
  </si>
  <si>
    <t xml:space="preserve"> Подпрограмма 1 "Управление культурой, спортом и молодежной политикой"</t>
  </si>
  <si>
    <t xml:space="preserve"> Обеспечение реализации функций и полномочий в сфере культуры, спорта и молодежной политики</t>
  </si>
  <si>
    <t>8511106010</t>
  </si>
  <si>
    <t>8511106030</t>
  </si>
  <si>
    <t>8511106080</t>
  </si>
  <si>
    <t>8511113060</t>
  </si>
  <si>
    <t xml:space="preserve"> Подпрограмма 2 "Молодежь и развитие физической культуры и спорта"</t>
  </si>
  <si>
    <t xml:space="preserve"> Развитие физической культуры и спорта</t>
  </si>
  <si>
    <t>8522129990</t>
  </si>
  <si>
    <t>85221L5940</t>
  </si>
  <si>
    <t xml:space="preserve"> Развитие спортивной инфраструктуры</t>
  </si>
  <si>
    <t xml:space="preserve"> Субсидия на софинансирование капитального ремонта объектов, находящихся в муниципальной собственности</t>
  </si>
  <si>
    <t>8522270640</t>
  </si>
  <si>
    <t xml:space="preserve"> Субсидия на софинансирование капитального ремонта объектов, находящихся в муниципальной собственности (за счет резервного фонда Правительства Мурманской области)</t>
  </si>
  <si>
    <t>852227064U</t>
  </si>
  <si>
    <t xml:space="preserve"> Софинансирование за счет средств местного бюджета к субсидии бюджетам муниципальных образований на софинансирование расходов, направляемых на капитальный ремонт объектов, находящихся в муниципальной собственности</t>
  </si>
  <si>
    <t>85222S0640</t>
  </si>
  <si>
    <t xml:space="preserve"> Софинансирование за счет средств местного бюджета к cсубсидии на софинансирование капитальных вложений в объекты муниципальной собственности (за счет средств резервного фонда Правительства Мурманской области)</t>
  </si>
  <si>
    <t>85222S064U</t>
  </si>
  <si>
    <t xml:space="preserve"> Осуществление комплекса мер, направленных на поддержку молодежных инициатив</t>
  </si>
  <si>
    <t xml:space="preserve"> Стипендии Главы ЗАТО Александровск</t>
  </si>
  <si>
    <t>8522320190</t>
  </si>
  <si>
    <t>8522329990</t>
  </si>
  <si>
    <t xml:space="preserve"> Патриотическое воспитание молодежи</t>
  </si>
  <si>
    <t>8522400090</t>
  </si>
  <si>
    <t>8522413060</t>
  </si>
  <si>
    <t>8522420080</t>
  </si>
  <si>
    <t>8522471100</t>
  </si>
  <si>
    <t>85224S1100</t>
  </si>
  <si>
    <t>85224Р1100</t>
  </si>
  <si>
    <t xml:space="preserve"> Подпрограмма 3 "Культура"</t>
  </si>
  <si>
    <t xml:space="preserve"> Реализация творческого потенциала и организация досуга населения ЗАТО Александровск</t>
  </si>
  <si>
    <t>8533100090</t>
  </si>
  <si>
    <t>8533113060</t>
  </si>
  <si>
    <t>8533120080</t>
  </si>
  <si>
    <t>8533129990</t>
  </si>
  <si>
    <t>8533171100</t>
  </si>
  <si>
    <t>8533175100</t>
  </si>
  <si>
    <t>85331S1100</t>
  </si>
  <si>
    <t>85331Р1100</t>
  </si>
  <si>
    <t xml:space="preserve"> Развитие библиотечного дела ЗАТО Александровск</t>
  </si>
  <si>
    <t>8533200090</t>
  </si>
  <si>
    <t>8533213060</t>
  </si>
  <si>
    <t>8533220080</t>
  </si>
  <si>
    <t>8533271100</t>
  </si>
  <si>
    <t>8533275100</t>
  </si>
  <si>
    <t>85332S1100</t>
  </si>
  <si>
    <t>85332Р1100</t>
  </si>
  <si>
    <t xml:space="preserve"> Развитие музейного дела ЗАТО Александровск</t>
  </si>
  <si>
    <t>8533300090</t>
  </si>
  <si>
    <t>8533313060</t>
  </si>
  <si>
    <t>8533320080</t>
  </si>
  <si>
    <t>8533371100</t>
  </si>
  <si>
    <t>85333S1100</t>
  </si>
  <si>
    <t>85333Р1100</t>
  </si>
  <si>
    <t xml:space="preserve"> Укрепление материально - технической базы, обеспечение безопасности работы муниципальных учреждений культуры и соответствия их современным требованиям</t>
  </si>
  <si>
    <t>8533429990</t>
  </si>
  <si>
    <t>85334L5940</t>
  </si>
  <si>
    <t xml:space="preserve"> Создание условий для сохранения и использования объектов культурного наследия, расположенных на территории ЗАТО Александровск, и обеспечение доступа к ним</t>
  </si>
  <si>
    <t>8533529990</t>
  </si>
  <si>
    <t xml:space="preserve">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</si>
  <si>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85335L2990</t>
  </si>
  <si>
    <t xml:space="preserve"> Муниципальная программа "Дорожная деятельность и комплексная безопасность ЗАТО Александровск"</t>
  </si>
  <si>
    <t xml:space="preserve"> Подпрограмма 1 "Автомобильные дороги ЗАТО Александровск"</t>
  </si>
  <si>
    <t xml:space="preserve"> Ремонт автомобильных дорог местного значения общего пользования и междомовых проездов</t>
  </si>
  <si>
    <t xml:space="preserve"> Ремонт автомобильных дорог общего пользования местного значения</t>
  </si>
  <si>
    <t>8711120040</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</si>
  <si>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</si>
  <si>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8711149100</t>
  </si>
  <si>
    <t xml:space="preserve"> Софинансирование за счет средств местного бюджета к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</si>
  <si>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87111S9100</t>
  </si>
  <si>
    <t xml:space="preserve"> Содержание автомобильных дорог общего пользования местного значения ЗАТО Александровск</t>
  </si>
  <si>
    <t xml:space="preserve"> Содержание автомобильных дорог общего пользования местного значения, за исключением капитального ремонта и ремонта</t>
  </si>
  <si>
    <t>8711220050</t>
  </si>
  <si>
    <t>8711229990</t>
  </si>
  <si>
    <t xml:space="preserve"> Подпрограмма 2 "Организация транспортного обслуживания населения на территории ЗАТО Александровск"</t>
  </si>
  <si>
    <t xml:space="preserve"> Обеспечение потребностей населения в перевозках автомобильным транспортом общего пользования</t>
  </si>
  <si>
    <t>8721129990</t>
  </si>
  <si>
    <t xml:space="preserve"> Субсидии бюджетам муниципальных образований на организацию транспортного обслуживания населения автомобильным транспортом и городским наземным электрическим транспортом</t>
  </si>
  <si>
    <t>8721171280</t>
  </si>
  <si>
    <t xml:space="preserve"> Субвенция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t>
  </si>
  <si>
    <t>8721176600</t>
  </si>
  <si>
    <t xml:space="preserve"> Софинансирование за счет средств местного бюджета к cубсидии бюджетам муниципальных образований на организацию транспортного обслуживания населения автомобильным транспортом и городским наземным электрическим транспортом</t>
  </si>
  <si>
    <t>87211S1280</t>
  </si>
  <si>
    <t xml:space="preserve"> Подпрограмма 3 "Общественная безопасность"</t>
  </si>
  <si>
    <t xml:space="preserve"> Проведение мероприятий по регулированию численности безнадзорных животных</t>
  </si>
  <si>
    <t>8731129990</t>
  </si>
  <si>
    <t xml:space="preserve"> Субвенция бюджетам муниципальных образований Мурманской области на осуществление деятельности по отлову и содержанию животных без владельцев</t>
  </si>
  <si>
    <t>8731175590</t>
  </si>
  <si>
    <t xml:space="preserve"> Проведение мероприятий правового, информационно-организационного, социального, воспитательного характера по профилактике правонарушений на территории ЗАТО Александровск</t>
  </si>
  <si>
    <t xml:space="preserve"> Мероприятия по развитию и обслуживанию системы АПК "Безопасный город"</t>
  </si>
  <si>
    <t>8731220110</t>
  </si>
  <si>
    <t>8731229990</t>
  </si>
  <si>
    <t xml:space="preserve"> Подпрограмма 4 "Защита от чрезвычайных ситуаций и гражданская оборона"</t>
  </si>
  <si>
    <t xml:space="preserve"> Обеспечение выполнения неотложных мероприятий по предупреждению и ликвидации чрезвычайных ситуаций</t>
  </si>
  <si>
    <t xml:space="preserve"> Расходы на обеспечение деятельности (оказание услуг) подведомственных казенных учреждений</t>
  </si>
  <si>
    <t>8741100020</t>
  </si>
  <si>
    <t>8741113060</t>
  </si>
  <si>
    <t>8741120080</t>
  </si>
  <si>
    <t>8741129990</t>
  </si>
  <si>
    <t xml:space="preserve"> Подпрограмма 5 "Мобилизационная подготовка в ЗАТО Александровск"</t>
  </si>
  <si>
    <t xml:space="preserve"> Совершенствование системы управления ЗАТО Александровск на военное время</t>
  </si>
  <si>
    <t>8751129990</t>
  </si>
  <si>
    <t xml:space="preserve"> Муниципальная программа "Муниципальное управление и гражданское общество ЗАТО Александровск"</t>
  </si>
  <si>
    <t xml:space="preserve"> Подпрограмма 1 "Административное управление и контроль"</t>
  </si>
  <si>
    <t xml:space="preserve"> Осуществление функций и полномочий Главы ЗАТО Александровск и администрации ЗАТО Александровск</t>
  </si>
  <si>
    <t xml:space="preserve"> Расходы на выплаты по оплате труда главы муниципального образования</t>
  </si>
  <si>
    <t>9011101010</t>
  </si>
  <si>
    <t xml:space="preserve"> Расходы на обеспечение функций главы муниципального образования</t>
  </si>
  <si>
    <t>9011101030</t>
  </si>
  <si>
    <t xml:space="preserve"> Мероприятия, направленные на профессиональную подготовку, переподготовку и повышение квалификации главы муниципального образования</t>
  </si>
  <si>
    <t>9011101080</t>
  </si>
  <si>
    <t>9011106010</t>
  </si>
  <si>
    <t>9011106030</t>
  </si>
  <si>
    <t>9011106080</t>
  </si>
  <si>
    <t>9011113060</t>
  </si>
  <si>
    <t xml:space="preserve"> Мероприятия по землеустройству и землепользованию</t>
  </si>
  <si>
    <t>9011120150</t>
  </si>
  <si>
    <t>9011129990</t>
  </si>
  <si>
    <t xml:space="preserve"> Осуществление переданных полномочий Российской Федерации на государственную регистрацию актов гражданского состояния</t>
  </si>
  <si>
    <t>9011159300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</si>
  <si>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</si>
  <si>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9011170570</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</si>
  <si>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 вознаграждения опекунам совершеннолетних недееспособных граждан</t>
  </si>
  <si>
    <t>9011175330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</si>
  <si>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</si>
  <si>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9011175510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</si>
  <si>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</si>
  <si>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9011175530</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</si>
  <si>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</si>
  <si>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9011175540</t>
  </si>
  <si>
    <t xml:space="preserve"> Субвенция на реализацию Закона Мурманской области "Об административных комиссиях"</t>
  </si>
  <si>
    <t>9011175550</t>
  </si>
  <si>
    <t xml:space="preserve"> Субвенция на реализацию Закона Мурманской области "О комиссиях по делам несовершеннолетних и защите их прав в Мурманской области"</t>
  </si>
  <si>
    <t>9011175560</t>
  </si>
  <si>
    <t xml:space="preserve"> 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</si>
  <si>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9011175610</t>
  </si>
  <si>
    <t xml:space="preserve"> Софинансирование за счет средств местного бюджета к субсидии на техническое сопровождение программного обеспечения "Система автоматизированного рабочего места муниципального образования"</t>
  </si>
  <si>
    <t>90111S0570</t>
  </si>
  <si>
    <t xml:space="preserve"> Подпрограмма 2 "Централизация учетно-расчетных функций муниципальных организаций"</t>
  </si>
  <si>
    <t xml:space="preserve"> Организация и ведение бухгалтерского (бюджетного) учета и формирования бухгалтерской (бюджетной) отчетности муниципальных учреждений ЗАТО Александровск специализированной организацией</t>
  </si>
  <si>
    <t>9021100020</t>
  </si>
  <si>
    <t>9021113060</t>
  </si>
  <si>
    <t>9021120080</t>
  </si>
  <si>
    <t xml:space="preserve"> Подпрограмма 3 "Обслуживание органов местного самоуправления"</t>
  </si>
  <si>
    <t xml:space="preserve"> Обеспечение деятельности органов местного самоуправления ЗАТО Александровск, а также казенных учреждений, созданных для осуществления функций органов местного самоуправления ЗАТО Александровск</t>
  </si>
  <si>
    <t>9031100020</t>
  </si>
  <si>
    <t>9031113060</t>
  </si>
  <si>
    <t>9031113070</t>
  </si>
  <si>
    <t>9031120080</t>
  </si>
  <si>
    <t>9031129990</t>
  </si>
  <si>
    <t xml:space="preserve"> Подпрограмма 4 "Многофункциональный центр"</t>
  </si>
  <si>
    <t xml:space="preserve"> Организация предоставления государственных и муниципальных услуг по принципу "одного окна"</t>
  </si>
  <si>
    <t>9041100090</t>
  </si>
  <si>
    <t>9041113060</t>
  </si>
  <si>
    <t>9041120080</t>
  </si>
  <si>
    <t xml:space="preserve"> Подпрограмма 5 "Архивное дело"</t>
  </si>
  <si>
    <t xml:space="preserve"> Обеспечение сохранности, комплектования, учета и использования архивных документов</t>
  </si>
  <si>
    <t>9051100020</t>
  </si>
  <si>
    <t>9051113060</t>
  </si>
  <si>
    <t>9051120080</t>
  </si>
  <si>
    <t xml:space="preserve"> Подпрограмма 6 "Управление развитием информационного общества"</t>
  </si>
  <si>
    <t xml:space="preserve"> Поддержка, развитие и защита информационно-телекоммуникационной инфраструктуры в органах местного самоуправления и муниципальных казенных учреждениях</t>
  </si>
  <si>
    <t>9061100090</t>
  </si>
  <si>
    <t>9061113060</t>
  </si>
  <si>
    <t>9061129990</t>
  </si>
  <si>
    <t xml:space="preserve"> Совет депутатов муниципального образования городской округ закрытое административно-территориальное образование Александровск Мурманской области</t>
  </si>
  <si>
    <t>913</t>
  </si>
  <si>
    <t xml:space="preserve"> Управление финансов администрации ЗАТО Александровск</t>
  </si>
  <si>
    <t>916</t>
  </si>
  <si>
    <t xml:space="preserve"> контрольно-счетная палата муниципального образования городской округ закрытое административно-территориальное образование Александровск Мурманской области</t>
  </si>
  <si>
    <t>924</t>
  </si>
  <si>
    <t xml:space="preserve"> 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t>
  </si>
  <si>
    <t>9061200090</t>
  </si>
  <si>
    <t xml:space="preserve"> Подпрограмма 7 "Управление муниципальными финансами"</t>
  </si>
  <si>
    <t xml:space="preserve"> Выполнение функций в сфере управления муниципальными финансами</t>
  </si>
  <si>
    <t>9071106010</t>
  </si>
  <si>
    <t>9071106030</t>
  </si>
  <si>
    <t>9071106080</t>
  </si>
  <si>
    <t xml:space="preserve"> Единовременное поощрение за многолетнюю безупречную муниципальную службу, выплачиваемое муниципальным служащим</t>
  </si>
  <si>
    <t>9071108210</t>
  </si>
  <si>
    <t>9071113060</t>
  </si>
  <si>
    <t xml:space="preserve"> Повышение гибкости долговой политики ЗАТО Александровск</t>
  </si>
  <si>
    <t xml:space="preserve"> Процентные платежи по муниципальному долгу</t>
  </si>
  <si>
    <t>9071220120</t>
  </si>
  <si>
    <t xml:space="preserve"> Муниципальная программа ЗАТО Александровск "Содержание и развитие системы жилищно-коммунального хозяйства, управление муниципальным имуществом ЗАТО Александровск"</t>
  </si>
  <si>
    <t xml:space="preserve"> Подпрограмма 1 "Содержание и эффективное использование объектов жилищно-коммунальной инфраструктуры ЗАТО Александровск"</t>
  </si>
  <si>
    <t xml:space="preserve"> Содержание и ремонт муниципального жилого и нежилого фонда, объектов жилищно-коммунального хозяйства</t>
  </si>
  <si>
    <t>9111120090</t>
  </si>
  <si>
    <t xml:space="preserve"> Взносы на проведение капитального ремонта общего имущества многоквартирных домов</t>
  </si>
  <si>
    <t>9111120950</t>
  </si>
  <si>
    <t>9111129990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</si>
  <si>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</si>
  <si>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9111170850</t>
  </si>
  <si>
    <t>91111L5940</t>
  </si>
  <si>
    <t xml:space="preserve"> Софинансирование за счет средств местного бюджета к субсидии на софинансирование расходных обязательств муниципальных образований на оплату взносов на капитальный ремонт за муниципальный жилой фонд</t>
  </si>
  <si>
    <t>91111S0850</t>
  </si>
  <si>
    <t xml:space="preserve"> Организация ритуальных услуг и содержание мест захоронения</t>
  </si>
  <si>
    <t>9111229990</t>
  </si>
  <si>
    <t xml:space="preserve"> Субвенция на возмещение расходов по гарантированному перечню услуг по погребению</t>
  </si>
  <si>
    <t>9111275230</t>
  </si>
  <si>
    <t xml:space="preserve"> Подпрограмма 2 "Управление муниципальным имуществом ЗАТО Александровск"</t>
  </si>
  <si>
    <t xml:space="preserve"> Осуществление полномочий, функций и оказание муниципальных услуг по решению вопросов местного значения в сфере жилищных, имущественных и земельных отношений</t>
  </si>
  <si>
    <t>9121100020</t>
  </si>
  <si>
    <t>9121113060</t>
  </si>
  <si>
    <t>9121120080</t>
  </si>
  <si>
    <t xml:space="preserve"> Оценка недвижимости, признание прав и регулирование отношений по государственной и муниципальной собственности</t>
  </si>
  <si>
    <t>9121120140</t>
  </si>
  <si>
    <t>9121129990</t>
  </si>
  <si>
    <t xml:space="preserve"> Подпрограмма 4 "Управление жилищно-коммунальным хозяйством и капитальным строительством объектов инфраструктуры ЗАТО Александровск"</t>
  </si>
  <si>
    <t xml:space="preserve"> Обеспечение деятельности по управлению жилищно-коммунальным хозяйством и капитальным строительством объектов инфраструктуры ЗАТО Александровск</t>
  </si>
  <si>
    <t>9141100020</t>
  </si>
  <si>
    <t>9141113060</t>
  </si>
  <si>
    <t>9141120080</t>
  </si>
  <si>
    <t xml:space="preserve"> Непрограммная деятельность</t>
  </si>
  <si>
    <t>9900000090</t>
  </si>
  <si>
    <t xml:space="preserve"> Расходы на выплаты по оплате труда председателя представительного органа муниципального образования</t>
  </si>
  <si>
    <t>9900002010</t>
  </si>
  <si>
    <t xml:space="preserve"> Расходы на обеспечение функций председателя представительного органа муниципального образования</t>
  </si>
  <si>
    <t>9900002030</t>
  </si>
  <si>
    <t xml:space="preserve"> Расходы на выплаты по оплате труда депутатов представительного органа муниципального образования</t>
  </si>
  <si>
    <t>9900003010</t>
  </si>
  <si>
    <t xml:space="preserve"> Расходы на выплаты по оплате труда руководителя контрольно-счетной палаты муниципального образования и его заместителей</t>
  </si>
  <si>
    <t>9900005010</t>
  </si>
  <si>
    <t xml:space="preserve"> Мероприятия, направленные на профессиональную подготовку, переподготовку и повышение квалификации руководителя контрольно-счетной палаты муниципального образования и его заместителей</t>
  </si>
  <si>
    <t>9900005080</t>
  </si>
  <si>
    <t>9900006010</t>
  </si>
  <si>
    <t>9900006030</t>
  </si>
  <si>
    <t>9900006080</t>
  </si>
  <si>
    <t>9900013060</t>
  </si>
  <si>
    <t xml:space="preserve"> Прочие расходы администрации ЗАТО Александровск</t>
  </si>
  <si>
    <t>9900020130</t>
  </si>
  <si>
    <t xml:space="preserve"> Расходы на оплату единовременных, вступительных, организационных, членских взносов и сборов</t>
  </si>
  <si>
    <t>9900020170</t>
  </si>
  <si>
    <t xml:space="preserve"> Резервный фонд администрации ЗАТО Александровск</t>
  </si>
  <si>
    <t>9900020220</t>
  </si>
  <si>
    <t xml:space="preserve"> Прочие расходы непрограммной деятельности</t>
  </si>
  <si>
    <t>9900029980</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</si>
  <si>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</si>
  <si>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9900051200</t>
  </si>
  <si>
    <t xml:space="preserve"> Проведение Всероссийской переписи населения 2020 года</t>
  </si>
  <si>
    <t>9900054690</t>
  </si>
  <si>
    <t xml:space="preserve"> Предоставление дополнительного пенсионного обеспечения муниципальным служащим в органах местного самоуправления ЗАТО Александровск и лицам, замещавшим муниципальные должности в муниципальном образовании ЗАТО Александровск</t>
  </si>
  <si>
    <t>9900080010</t>
  </si>
  <si>
    <t xml:space="preserve"> Выплаты по решениям судов и оплата государственной пошлины</t>
  </si>
  <si>
    <t>9900099990</t>
  </si>
  <si>
    <t>ВСЕГО РАСХОДОВ:</t>
  </si>
  <si>
    <t>всего</t>
  </si>
  <si>
    <t>непрогр. Деят.</t>
  </si>
  <si>
    <t>Перечень доступных вариантов режима "Состояние счета" на 31.12.2021 
Счет: 01493430710 (УО администрации ЗАТО Александровск)</t>
  </si>
  <si>
    <t>ППП</t>
  </si>
  <si>
    <t>ФКР</t>
  </si>
  <si>
    <t>ЦСт</t>
  </si>
  <si>
    <t>КВР</t>
  </si>
  <si>
    <t>Доп.
Классиф</t>
  </si>
  <si>
    <t>РОСПИСЬ 2019</t>
  </si>
  <si>
    <t>РОСПИСЬ 2021</t>
  </si>
  <si>
    <t>НЕ ОТКРЫТЫ ЛБО</t>
  </si>
  <si>
    <t>ЛБО 2021</t>
  </si>
  <si>
    <t>ФИНАНСИРОВ</t>
  </si>
  <si>
    <t>ОСТАТОК ЛБО</t>
  </si>
  <si>
    <t>КАССОВЫЙ РАСХОД</t>
  </si>
  <si>
    <t>ОСТАТКИ НА СЧ</t>
  </si>
  <si>
    <t>0104</t>
  </si>
  <si>
    <t>121</t>
  </si>
  <si>
    <t>129</t>
  </si>
  <si>
    <t>0113</t>
  </si>
  <si>
    <t>0701</t>
  </si>
  <si>
    <t>71100-21</t>
  </si>
  <si>
    <t>74111P1100</t>
  </si>
  <si>
    <t>741127724U</t>
  </si>
  <si>
    <t>7724U-21</t>
  </si>
  <si>
    <t>0702</t>
  </si>
  <si>
    <t>21-53030-00000-00000</t>
  </si>
  <si>
    <t>КЛ РУК</t>
  </si>
  <si>
    <t>73030-21</t>
  </si>
  <si>
    <t>21-55940-00000-00000</t>
  </si>
  <si>
    <t>269 ОХРАНА</t>
  </si>
  <si>
    <t>ГИМН 1 280 ОХР</t>
  </si>
  <si>
    <t>ОСТ S рен</t>
  </si>
  <si>
    <t>70790-21</t>
  </si>
  <si>
    <t>71040-21</t>
  </si>
  <si>
    <t>71250-21</t>
  </si>
  <si>
    <t>75320-21</t>
  </si>
  <si>
    <t>21-53040-00000-00000</t>
  </si>
  <si>
    <t>74553P1100</t>
  </si>
  <si>
    <t>0703</t>
  </si>
  <si>
    <t>дюсш пол</t>
  </si>
  <si>
    <t>цдо</t>
  </si>
  <si>
    <t>цтт</t>
  </si>
  <si>
    <t>дюсш снеж</t>
  </si>
  <si>
    <t>ддт снеж</t>
  </si>
  <si>
    <t>дюсш гадж</t>
  </si>
  <si>
    <t>ддт гадж</t>
  </si>
  <si>
    <t>пед</t>
  </si>
  <si>
    <t>мрот</t>
  </si>
  <si>
    <t>74331P1100</t>
  </si>
  <si>
    <t>706411-21</t>
  </si>
  <si>
    <t>706432U-21</t>
  </si>
  <si>
    <t>0705</t>
  </si>
  <si>
    <t>611</t>
  </si>
  <si>
    <t>0707</t>
  </si>
  <si>
    <t>0709</t>
  </si>
  <si>
    <t>74551P1100</t>
  </si>
  <si>
    <t>выписка дох</t>
  </si>
  <si>
    <t>75100-21</t>
  </si>
  <si>
    <t>фб+об</t>
  </si>
  <si>
    <t>75200-21</t>
  </si>
  <si>
    <t>75210-21</t>
  </si>
  <si>
    <t>75250-21</t>
  </si>
  <si>
    <t>выписка 03 л</t>
  </si>
  <si>
    <t>75240-21</t>
  </si>
  <si>
    <t>75360-21</t>
  </si>
  <si>
    <t>75370-21</t>
  </si>
  <si>
    <t>75340-21</t>
  </si>
  <si>
    <t>75350-21</t>
  </si>
  <si>
    <t>75520-21</t>
  </si>
  <si>
    <t>обл</t>
  </si>
  <si>
    <t>в т ч ФБ</t>
  </si>
  <si>
    <t>М.БЮДЖ.</t>
  </si>
  <si>
    <t>ИТОГО</t>
  </si>
  <si>
    <t xml:space="preserve">ОБЩ ВОПР </t>
  </si>
  <si>
    <t>ОБЩ ВОПР м.б</t>
  </si>
  <si>
    <t>ОБЩ ВОПР о.б</t>
  </si>
  <si>
    <t>НАЦ ЭК МБ</t>
  </si>
  <si>
    <t>ОБРАЗ</t>
  </si>
  <si>
    <t>СОЦ ПОЛИТ ОБ</t>
  </si>
  <si>
    <t>УЧРЕЖДЕНИЯ</t>
  </si>
  <si>
    <t>УЧРЕЖД 600</t>
  </si>
  <si>
    <t>НЕКОМ ОРГ 600</t>
  </si>
  <si>
    <t>ИТОГО 600</t>
  </si>
  <si>
    <t>ИТОГО 100</t>
  </si>
  <si>
    <t>831 МБ</t>
  </si>
  <si>
    <t>УО ИТОГО</t>
  </si>
  <si>
    <t>ПРОВЕРКА</t>
  </si>
  <si>
    <t>ОСТАТКИ</t>
  </si>
  <si>
    <t>ИТОГО ОСТАТКИ</t>
  </si>
  <si>
    <t>ПЛАН</t>
  </si>
  <si>
    <t>ПЛАН С ОСТ.</t>
  </si>
  <si>
    <t>АВТО</t>
  </si>
  <si>
    <t>мун задан</t>
  </si>
  <si>
    <t>ин цели</t>
  </si>
  <si>
    <t>ВОЗВ ПР ЛЕТ</t>
  </si>
  <si>
    <t>ДДТ ГАДЖ</t>
  </si>
  <si>
    <t>ДОУ 46</t>
  </si>
  <si>
    <t>Б/У</t>
  </si>
  <si>
    <t>АУ+БУ</t>
  </si>
  <si>
    <t>ПЛАН ПАСПОРТ 600</t>
  </si>
  <si>
    <t>ПАСПОРТ</t>
  </si>
  <si>
    <t>НЕ ОТК ЛБО</t>
  </si>
  <si>
    <t>ОСТ.</t>
  </si>
  <si>
    <t>ОБЛ</t>
  </si>
  <si>
    <t xml:space="preserve">фот </t>
  </si>
  <si>
    <t>25 село</t>
  </si>
  <si>
    <t>м+обл</t>
  </si>
  <si>
    <t xml:space="preserve"> мрот фот </t>
  </si>
  <si>
    <t>доходы обл</t>
  </si>
  <si>
    <t>хисам</t>
  </si>
  <si>
    <t>ОТЧ ФОТ</t>
  </si>
  <si>
    <t>планы об</t>
  </si>
  <si>
    <t>планы мб s</t>
  </si>
  <si>
    <t>МБ S</t>
  </si>
  <si>
    <t>387 Форма</t>
  </si>
  <si>
    <t xml:space="preserve">ПЛАН </t>
  </si>
  <si>
    <t>КАССА</t>
  </si>
  <si>
    <t>итого</t>
  </si>
  <si>
    <t>итого органы обл</t>
  </si>
  <si>
    <t>субвенции</t>
  </si>
  <si>
    <t>допобразов</t>
  </si>
  <si>
    <t>оздоровл</t>
  </si>
  <si>
    <t>тжс</t>
  </si>
  <si>
    <t>соц обеспеч (уо +пасп)</t>
  </si>
  <si>
    <t>бу и ау соц.об.</t>
  </si>
  <si>
    <t>паспорт</t>
  </si>
  <si>
    <t>321+350</t>
  </si>
  <si>
    <t>комп.род пл</t>
  </si>
  <si>
    <t>опека</t>
  </si>
  <si>
    <t>выпл.приемн.семье</t>
  </si>
  <si>
    <t>румянцева</t>
  </si>
  <si>
    <t>вознагражд.приемн.родит.</t>
  </si>
  <si>
    <t xml:space="preserve">выпл.семьям опекунов </t>
  </si>
  <si>
    <t>патронат</t>
  </si>
  <si>
    <t>гос  мун прогр</t>
  </si>
  <si>
    <t>в т.ч. Федер.бюдж.</t>
  </si>
  <si>
    <t>субвен</t>
  </si>
  <si>
    <t>кап влож</t>
  </si>
  <si>
    <t>310 уо</t>
  </si>
  <si>
    <t>радченко</t>
  </si>
  <si>
    <t>кап рем</t>
  </si>
  <si>
    <t>ау+бу</t>
  </si>
  <si>
    <t>дюсш снеж 21 л РЕНОВАЦ дюсш пол, дюсш гадж, доу 6,4, оош 280 (380000р)</t>
  </si>
  <si>
    <t>В Т.Ч. ФБ</t>
  </si>
  <si>
    <t>инф.по расх.</t>
  </si>
  <si>
    <t>квартально</t>
  </si>
  <si>
    <t>ау+бу+ вн</t>
  </si>
  <si>
    <t>доу мб</t>
  </si>
  <si>
    <t>сош мб</t>
  </si>
  <si>
    <t>допы</t>
  </si>
  <si>
    <t>прочие</t>
  </si>
  <si>
    <t>оздоровление</t>
  </si>
  <si>
    <t>СОШ</t>
  </si>
  <si>
    <t>ДОПЫ</t>
  </si>
  <si>
    <t xml:space="preserve">ДОУ </t>
  </si>
  <si>
    <t>ДОУ АВТО</t>
  </si>
  <si>
    <t>ДОУ БУ</t>
  </si>
  <si>
    <t>за период с 01.01.2021г. по 31.12.2021г.</t>
  </si>
  <si>
    <t>Наименование показателя</t>
  </si>
  <si>
    <t>Ц.ст.</t>
  </si>
  <si>
    <t>Уточненная роспись/план</t>
  </si>
  <si>
    <t>Уточненный лимит БО</t>
  </si>
  <si>
    <t>Касс. расход</t>
  </si>
  <si>
    <t>Остаток</t>
  </si>
  <si>
    <t>Остаток росписи/плана</t>
  </si>
  <si>
    <t>Исполнение росписи/плана</t>
  </si>
  <si>
    <t>Остаток лимитов</t>
  </si>
  <si>
    <t>Исполнение лимитов</t>
  </si>
  <si>
    <t xml:space="preserve">    Муниципальная программа "Образование ЗАТО Александровск"</t>
  </si>
  <si>
    <t>7400000000</t>
  </si>
  <si>
    <t xml:space="preserve">      Подпрограмма 1 "Дошкольное образование"</t>
  </si>
  <si>
    <t>7410000000</t>
  </si>
  <si>
    <t xml:space="preserve">        Развитие дошкольного образования</t>
  </si>
  <si>
    <t>7411100000</t>
  </si>
  <si>
    <t xml:space="preserve">          Расходы на обеспечение деятельности (оказание услуг) подведомственных муниципальных бюджетных и автономных учреждений</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</si>
  <si>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</si>
  <si>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Компенсация расходов на оплату стоимости проезда и провоза багажа при переезде лиц (работников), а также членов их семей, при заключении (расторжении) трудовых договоров (контрактов) с организациями, финансируемыми из местного бюджета</t>
  </si>
  <si>
    <t>7411113070</t>
  </si>
  <si>
    <t xml:space="preserve">          Мероприятия, направленные на профессиональную подготовку, переподготовку и повышение квалификации работников муниципальных учреждений</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</si>
  <si>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</si>
  <si>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</si>
  <si>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</si>
  <si>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</si>
  <si>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Софинансирование за счет средств местного бюджета к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</si>
  <si>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Софинансирование за счет средств местного бюджета к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(в размере, превышающем объем расходного обязательства в рамках Соглашения)</t>
  </si>
  <si>
    <t xml:space="preserve">        Обеспечение безопасности работы муниципальных дошкольных образовательных учреждений и соответствия их современным требованиям</t>
  </si>
  <si>
    <t>7411200000</t>
  </si>
  <si>
    <t xml:space="preserve">          Капитальный и текущий ремонт объектов муниципальной собственности</t>
  </si>
  <si>
    <t xml:space="preserve">          Прочие направления расходов муниципальной программы</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</si>
  <si>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резервного фонда Правительства Мурманской области)</t>
  </si>
  <si>
    <t xml:space="preserve">      Подпрограмма 2 "Общее образование"</t>
  </si>
  <si>
    <t>7420000000</t>
  </si>
  <si>
    <t xml:space="preserve">        Развитие общего образования</t>
  </si>
  <si>
    <t>7422100000</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</si>
  <si>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</si>
  <si>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</si>
  <si>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</si>
  <si>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Обеспечение безопасности работы муниципальных общеобразовательных учреждениях и соответствия их современным требованиям</t>
  </si>
  <si>
    <t>7422200000</t>
  </si>
  <si>
    <t xml:space="preserve">          Субсидии на обеспечение комплексной безопасности муниципальных образовательных организаций</t>
  </si>
  <si>
    <t xml:space="preserve">          Реализация проектов развития социальной и инженерной инфраструктур</t>
  </si>
  <si>
    <t xml:space="preserve">          Софинансирование за счет средств местного бюджета к cубсидии на обеспечение комплексной безопасности муниципальных образовательных организаций</t>
  </si>
  <si>
    <t xml:space="preserve">      Подпрограмма 3 "Дополнительное образование"</t>
  </si>
  <si>
    <t>7430000000</t>
  </si>
  <si>
    <t xml:space="preserve">        Дополнительное образование  в сфере образования</t>
  </si>
  <si>
    <t>7433100000</t>
  </si>
  <si>
    <t>7433113070</t>
  </si>
  <si>
    <t xml:space="preserve">        Дополнительное образование  в сфере культуры и искусства</t>
  </si>
  <si>
    <t>7433200000</t>
  </si>
  <si>
    <t xml:space="preserve">        Обеспечение безопасности работы в муниципальных учреждениях дополнительного образования и соответствия их современным требованиям</t>
  </si>
  <si>
    <t>7433300000</t>
  </si>
  <si>
    <t>7433329990</t>
  </si>
  <si>
    <t xml:space="preserve">        Региональный проект "Культурная среда"</t>
  </si>
  <si>
    <t>743A100000</t>
  </si>
  <si>
    <t xml:space="preserve">          Государственная поддержка отрасли культуры</t>
  </si>
  <si>
    <t xml:space="preserve">      Подпрограмма 4 "Управление в сфере образования"</t>
  </si>
  <si>
    <t>7440000000</t>
  </si>
  <si>
    <t xml:space="preserve">        Осуществление функций и полномочий учредителя муниципальных учреждений сферы образования ЗАТО Александровск</t>
  </si>
  <si>
    <t>7444100000</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</si>
  <si>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</si>
  <si>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</si>
  <si>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Мероприятия, направленные на профессиональную подготовку, переподготовку и повышение квалификации работников органов местного самоуправления</t>
  </si>
  <si>
    <t>7444120080</t>
  </si>
  <si>
    <t xml:space="preserve">        Охрана прав детей, оставшихся без попечения родителей</t>
  </si>
  <si>
    <t>7444200000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</si>
  <si>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</si>
  <si>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</si>
  <si>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</si>
  <si>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</si>
  <si>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</si>
  <si>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</si>
  <si>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</si>
  <si>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Подпрограмма 5 "Иные вопросы в сфере образования"</t>
  </si>
  <si>
    <t>7450000000</t>
  </si>
  <si>
    <t xml:space="preserve">        Создание современной информационно-методической базы для учреждений системы образования ЗАТО Александровск</t>
  </si>
  <si>
    <t>7455100000</t>
  </si>
  <si>
    <t xml:space="preserve">        Обеспечение комплексного и качественного хозяйственно-эксплуатационное обслуживания учреждений системы образования ЗАТО Александровск</t>
  </si>
  <si>
    <t>7455200000</t>
  </si>
  <si>
    <t xml:space="preserve">        Создание условий для обеспечения организованным питанием обучающихся на бесплатной и платной основе</t>
  </si>
  <si>
    <t>7455300000</t>
  </si>
  <si>
    <t>7455329990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</si>
  <si>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</si>
  <si>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</si>
  <si>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 xml:space="preserve">          Субвенция на обеспечение бесплатным питанием отдельных категорий обучающихся</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</si>
  <si>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</si>
  <si>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Софинансирование за счет средств местного бюджета к субсидии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</si>
  <si>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Софинансирование за счет средств местного бюджета к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</si>
  <si>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 xml:space="preserve">        Создание условий для обеспечения круглогодичного организованного отдыха и оздоровления детей в возрасте от 6 до 18 лет</t>
  </si>
  <si>
    <t>7455400000</t>
  </si>
  <si>
    <t xml:space="preserve">          Субсидия на организацию отдыха детей  Мурманской области в  муниципальных образовательных организациях</t>
  </si>
  <si>
    <t xml:space="preserve">          Софинансирование за счет средств местного бюджета к субсидии на организацию отдыха детей  Мурманской области в  муниципальных образовательных организациях</t>
  </si>
  <si>
    <t>Управление образования администрации ЗАТО Александровск; образовательные организации и учреждения образования, подведомственные Управлению образования администрации ЗАТО Александровск; учреждения, подведомственные УКС и МП администрации ЗАТО Александровск; учреждения, подведомственные ОУиО администрации ЗАТО Александровск.</t>
  </si>
  <si>
    <t>Управление образования администрации ЗАТО Александровск; образовательные организации и учреждения образования, подведомственные Управлению образования администрации ЗАТО Александровск.</t>
  </si>
  <si>
    <t>Учреждения, подведомственные УКС и МП администрации ЗАТО Александровск.</t>
  </si>
  <si>
    <t>Учреждения, подведомственные ОУиО администрации ЗАТО Александровск.</t>
  </si>
  <si>
    <t xml:space="preserve"> частично</t>
  </si>
  <si>
    <t>частично</t>
  </si>
  <si>
    <t>да</t>
  </si>
  <si>
    <t>Управление образования администрации ЗАТО Александровск; образовательные организации и учреждения образования, подведомственные Управлению образования администрации ЗАТО Александровск; учреждения, подведомственные ОУиО администрации ЗАТО Александровск.</t>
  </si>
  <si>
    <t>нет</t>
  </si>
  <si>
    <t>Управление образования администрации ЗАТО Александровск</t>
  </si>
  <si>
    <t>Управление образования администрации ЗАТО Александровск; образовательные организации и учреждения образования, подведомственные Управлению образования администрации ЗАТО Александровск, Учреждения, подведомственные УКС и МП администрации ЗАТО Александровск.</t>
  </si>
  <si>
    <t xml:space="preserve"> </t>
  </si>
  <si>
    <t>отмена части запланированных мероприятий по организации отдыха в связи с распространением новой каронавирусной инфекции</t>
  </si>
  <si>
    <t>высокий процент заболеваемости получателей указанной услуги</t>
  </si>
  <si>
    <t>указанная выплата носит заявительный характер</t>
  </si>
  <si>
    <t>поступил в среднее учебное заведение</t>
  </si>
  <si>
    <t>экономия по результатам закупочных процедур</t>
  </si>
  <si>
    <t>выплата носит заявительный характер. Высокий процент заболеваемости получателей указанной выплаты</t>
  </si>
  <si>
    <t xml:space="preserve"> Высокий процент заболеваемости получателей указанной выплаты</t>
  </si>
  <si>
    <t>Таблица № 11в</t>
  </si>
  <si>
    <t>Сведения о достижении значений показателей государственной программы в 20__ году*</t>
  </si>
  <si>
    <t>№ п/п</t>
  </si>
  <si>
    <t>Муниципальная программа, подпрограмма, показатель</t>
  </si>
  <si>
    <t>Ед. изм.</t>
  </si>
  <si>
    <t>Направ-ленность</t>
  </si>
  <si>
    <t>Значение показателя</t>
  </si>
  <si>
    <t>Степень достижения показателя (ДП)**</t>
  </si>
  <si>
    <t>Динамика значения показателя по сравнению с предшествующим годом (Дин)**</t>
  </si>
  <si>
    <t>Причины отклонения от плана и (или) отсутствия положительной динамики***</t>
  </si>
  <si>
    <t>Предлагаемые меры по улучшению значений показателя</t>
  </si>
  <si>
    <t>Соисполнитель, ответственный за выполнение показателя</t>
  </si>
  <si>
    <t>Степень достижения показателя для расчета К1****</t>
  </si>
  <si>
    <t>Динамика значения показателя для расчета К2****</t>
  </si>
  <si>
    <t>год, предшествующий отчетному</t>
  </si>
  <si>
    <t>отчетный год</t>
  </si>
  <si>
    <t>факт</t>
  </si>
  <si>
    <t>план</t>
  </si>
  <si>
    <t>0.1</t>
  </si>
  <si>
    <t>0.2</t>
  </si>
  <si>
    <t>*Состав подпрограмм и показателей муниципальной программы, единицы измерения, направленность, плановые значения показателей и соисполнители, ответственные за их выполнение, указываются в соответствии с редакцией мунипальной программы, действующей по состоянию на конец отчетного периода.</t>
  </si>
  <si>
    <t>**Степень достижения показателя (ДП) и динамика значения показателя (Дин) определяются в соответствии с пунктами 2 и 4 приложения № 1 к Порядку.</t>
  </si>
  <si>
    <t>***В случае отсутствия официальных фактических данных за отчетный период дополнительно в данной графе указываются слова «Предварительные данные» или «Оценка», указывается способ определения оценочного значения показателя и ожидаемый срок получения фактических значений.</t>
  </si>
  <si>
    <t>****Степень достижения показателя для расчета К1 и Динамика значения показателя для расчета К2 определяются и указываются для каждого показателя в отдельности с учетом условий, указанных соответственно в пунктах 3 и 5 приложения № 1 к Порядку. Критерии К1 и К2 для государственной программы в целом рассчитываются с учетом всех показателей программы и подпрограмм.</t>
  </si>
  <si>
    <t>Таблица № 11д</t>
  </si>
  <si>
    <t>Муниципальная программа, подпрограмма</t>
  </si>
  <si>
    <t>Ответственный исполнитель</t>
  </si>
  <si>
    <t>К1 (степень достижения показателей)</t>
  </si>
  <si>
    <t>К2 (динамика значений показателей по сравнению с предшествующим годом)</t>
  </si>
  <si>
    <t>К3 (степень выполнения мероприятий)</t>
  </si>
  <si>
    <t>ЭГП (интегральный показатель эффективности)</t>
  </si>
  <si>
    <t>Оценка*</t>
  </si>
  <si>
    <t>1.1</t>
  </si>
  <si>
    <t>1.2</t>
  </si>
  <si>
    <t>*Высокая, средняя, ниже среднего, низкая</t>
  </si>
  <si>
    <t>Цель МП - Повышение доступности и качества образования и обеспечение его соответствия запросам населения, требованиям инновационной экономики и потребностям рынка труда</t>
  </si>
  <si>
    <t>Сохранение 100 % доступности дошкольного образования для детей в возрасте от 0 до 7 лет</t>
  </si>
  <si>
    <t>%</t>
  </si>
  <si>
    <t>=</t>
  </si>
  <si>
    <t xml:space="preserve">Увеличение охвата детей в возрасте от 5 до 18 лет программами дополнительного образования </t>
  </si>
  <si>
    <t>↗</t>
  </si>
  <si>
    <t>Управление образования администрации ЗАТО Александровск, УКС и МП администрации ЗАТО Александровск</t>
  </si>
  <si>
    <t>Сохранение контингента обучающихся в государственных (муниципальных) общеобразовательных организациях, которым предоставлена возможность обучаться в соответствии с современными требованиями</t>
  </si>
  <si>
    <t>Подпрограмма 1 «Дошкольное образование»</t>
  </si>
  <si>
    <t>Цели ПП - Повышение доступности и качества дошкольного образования</t>
  </si>
  <si>
    <t>Отношение среднемесячной заработной платы педагогических работников государственных (муниципальных) образовательных организаций дошкольного образования к среднемесячной заработной плате организаций общего образования региона</t>
  </si>
  <si>
    <t>Образовательные учреждения, подведомственные Управлению образования администрации ЗАТО Александровск, реализующиех основную общеобразовательную программу дошкольного образования</t>
  </si>
  <si>
    <t>1.3.</t>
  </si>
  <si>
    <t>Доля детей – инвалидов, которым предоставлена возможность освоения общеобразовательных программ дошкольного образования</t>
  </si>
  <si>
    <t>1.4.</t>
  </si>
  <si>
    <t>Доля устраненных нарушений,выявленных надзорными органами</t>
  </si>
  <si>
    <t>Цели ПП - Повышение доступности и качества общего образования</t>
  </si>
  <si>
    <t>Отношение среднемесячной заработной платы педагогических работников общеобразовательных организаций к средней заработной плате по региону</t>
  </si>
  <si>
    <t>Общеобразовательные организации, подведомственные Управлению образования администрации ЗАТО Александровск</t>
  </si>
  <si>
    <t>Доля обучающихся общеобразовательных учреждений, обучение которых осуществляется в соответствии с федеральными государственными образовательными стандартами, в общем количестве обучающихся общеобразовательных учреждений ЗАТО Александровск.</t>
  </si>
  <si>
    <t>2.3.</t>
  </si>
  <si>
    <t>ОМ Е2.</t>
  </si>
  <si>
    <t>Количество муниципальных общеобразовательных организаций, расположенных в сельской местности и малых городах, в которых созданы или создаются условия для занятий физической культурой и спортом</t>
  </si>
  <si>
    <t>ед.</t>
  </si>
  <si>
    <t>Отношение среднемесячной заработной платы педагогических работников дополнительного образования к средней заработной плате учителей</t>
  </si>
  <si>
    <t>Учреждения дополнительного образования, подведомственные Управлению образования администрации ЗАТО Александровск и УКС и МП администрации ЗАТО Александровск</t>
  </si>
  <si>
    <t>Доля детей в возрасте от 5 до 18 лет, обучающихся по дополнительным образовательным программам в общей численности детей в ЗАТО Александровск</t>
  </si>
  <si>
    <t>Доля детей в возрасте от 5 до 18 лет, получающих дополнительное образование с использованием сертификата дополнительного образования, в общей численности детей, получающих дополнительное образование за счет бюджетных средств  (%)</t>
  </si>
  <si>
    <t>3.4.</t>
  </si>
  <si>
    <t xml:space="preserve">Доля устраненных нарушений,выявленных надзорными органами </t>
  </si>
  <si>
    <t>3.5.</t>
  </si>
  <si>
    <t>Доля детей, привлекаемых к участию в творческих мероприятиях, в общем числе детей (от 0 до 17 лет в ЗАТО Александровск)</t>
  </si>
  <si>
    <t>Учреждения, подведомственное управлению культуры, спорта и молодежной политики администрации ЗАТО Александровск</t>
  </si>
  <si>
    <t>ОМ А.1.</t>
  </si>
  <si>
    <t>Количество муниципальных культурно-досуговых учреждений, образовательных учреждений в сфере культуры, в которых осуществлена или осуществляется модернизация материально-технической базы, ремонтные работы, строительство</t>
  </si>
  <si>
    <t>Подпрограмма 4 «Управление в сфере образования»</t>
  </si>
  <si>
    <t xml:space="preserve">Количество выполняемых функций </t>
  </si>
  <si>
    <t>Доля детей, устроенных в приемную семью, отданных под опеку, усыновленных (удочеренных),от общей численности детей, стоящих на учете в органе опеки и попечительства</t>
  </si>
  <si>
    <t>Доля выполненных обращений (заявок) на информационно-методическое сопровождение муниципальных учреждений, от общего количества обращений(заявок), поступивших от муниципальных учреждений</t>
  </si>
  <si>
    <t>МБУО "Информационно-методический центр</t>
  </si>
  <si>
    <t>Доля образовательных учреждений, заключивших договоры на обслуживание, снабжение и оказание методической помощи по вопросам охраны труда и обеспечения безопасных условий, от общего количества образовательных учреждений</t>
  </si>
  <si>
    <t>МАУ "ХЭК"</t>
  </si>
  <si>
    <t>Количество обучающихся 1-4 классов</t>
  </si>
  <si>
    <t>чел.</t>
  </si>
  <si>
    <t>МАУО "Комбинат школьного питания", общеобразовательные органиазции</t>
  </si>
  <si>
    <t>Количество обучающихся, получающих питание на бесплатной основе</t>
  </si>
  <si>
    <t>МАУО "Комбинат школьного питания", МАОУ СОШ № 279</t>
  </si>
  <si>
    <t>5.5.</t>
  </si>
  <si>
    <t>Доля обучающихся, получающих начальное общее образование в муниципальных образовательных организациях, получающих бесплатное горячее питание, к общему количеству обучающихся, получающих начальное общее образование в муниципальных образовательных организациях</t>
  </si>
  <si>
    <t>5.6.</t>
  </si>
  <si>
    <t>Доля отдохнувших и оздоровленных детей в возрасте от 6 до 18 лет в оздоровительных учреждениях от общей численности детей данной возрастной категории</t>
  </si>
  <si>
    <t>МБУО "Информационно-методический центр", МАУО "Комбинат школьного питания", общеобразовательные органиазции</t>
  </si>
  <si>
    <t>0.3</t>
  </si>
  <si>
    <t xml:space="preserve"> = </t>
  </si>
  <si>
    <t>Отношение численности детей в возрасте от 1 до 6 лет, получающих дошкольное образование в текущем году, к сумме численности детей в возрасте от 1 до 6 лет, получающих дошкольное образование в текущем году, и численности детей в возрасте от 1 до 6 лет, находящихся в очереди на получение в текущем году дошкольного образования (на конец года)</t>
  </si>
  <si>
    <t>Подпрограмма 2 «Общее образование»</t>
  </si>
  <si>
    <t>Подпрограмма 3 «Дополнительное образование»</t>
  </si>
  <si>
    <t>Подпрограмма 5 «Иные вопросы в сфере образования»</t>
  </si>
  <si>
    <t>Цели ПП 
1. Удовлетворение потребностей учреждений системы образования ЗАТО Александровск  в информационно-методическом сопровождении; 
2. Удовлетворение потребности учреждений системы образования ЗАТО Александровск в комплексном и качественном хозяйственно-эксплуатационном обслуживании; 3. Удовлетворение потребности обучающихся в организованном питании  на базе общеобразовательных учреждений; 
4. Удовлетворение потребности населения в мероприятиях по  оздоровлению, отдыху и занятости детей и молодежи ЗАТО Александровск</t>
  </si>
  <si>
    <t>1.3</t>
  </si>
  <si>
    <t>1.4</t>
  </si>
  <si>
    <t>1.5</t>
  </si>
  <si>
    <t>МБУО "Информационно-методический центр
МАУ "ХЭК"
МАУО "Комбинат школьного питания"
Общеобразовательные организации, подведомственные Управлению образования администрации ЗАТО Александровск</t>
  </si>
  <si>
    <t xml:space="preserve"> - </t>
  </si>
  <si>
    <t>снижение общей численности детей по отношнию к году, предшествующему отчетному</t>
  </si>
  <si>
    <t>отсутствие дополнительно введенных функций</t>
  </si>
  <si>
    <t>снижение общей численности указанной категории обучающихся</t>
  </si>
  <si>
    <t>1. снижение общей численности указанной категории;
2. высокий процент заболеваемости получателей указанной услуги</t>
  </si>
  <si>
    <t>Цели ПП - Обеспечение соответсвия направлений и качества подготовки обучающихся по программам дополнительного образования детей, реализуемым муниципальными учреждениями ЗАТО Александровск</t>
  </si>
  <si>
    <t>Цели ПП: 1. Формирование и реализация муниципальной политики ЗАТО Александровск 2. Реализация государственной политики Российской Федрации и Мурманской области</t>
  </si>
  <si>
    <t>высокая</t>
  </si>
  <si>
    <t>ниже среднего</t>
  </si>
  <si>
    <t>Начальник Управления образования администрации ЗАТО Александровск</t>
  </si>
  <si>
    <t>Чебелева Г.Ю.</t>
  </si>
  <si>
    <t>Сведения о ходе реализации мероприятий муниципальной программы за 2021  отчетный год*</t>
  </si>
  <si>
    <t xml:space="preserve">  Чебелева Г.Ю.</t>
  </si>
  <si>
    <t>Оценка эффективности реализации муниципальной программы «Образование ЗАТО Александровск» в 2021 году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</si>
</sst>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0.00_р_._-;\-* #,##0.00_р_._-;_-* &quot;-&quot;??_р_._-;_-@_-"/>
    <numFmt numFmtId="165" formatCode="0.0"/>
    <numFmt numFmtId="166" formatCode="#,##0.0"/>
  </numFmts>
  <fonts count="66" x14ac:knownFonts="1">
    <font>
      <sz val="11"/>
      <color theme="1"/>
      <name val="Calibri"/>
      <family val="2"/>
      <charset val="204"/>
      <scheme val="minor"/>
    </font>
    <font>
      <b/>
      <sz val="11"/>
      <color theme="1"/>
      <name val="Calibri"/>
      <family val="2"/>
      <charset val="204"/>
      <scheme val="minor"/>
    </font>
    <font>
      <sz val="12"/>
      <color theme="1"/>
      <name val="Times New Roman"/>
      <family val="1"/>
      <charset val="204"/>
    </font>
    <font>
      <sz val="8"/>
      <color theme="1"/>
      <name val="Calibri"/>
      <family val="2"/>
      <charset val="204"/>
      <scheme val="minor"/>
    </font>
    <font>
      <b/>
      <sz val="11"/>
      <color theme="1"/>
      <name val="Times New Roman"/>
      <family val="1"/>
      <charset val="204"/>
    </font>
    <font>
      <b/>
      <sz val="8"/>
      <color theme="1"/>
      <name val="Times New Roman"/>
      <family val="1"/>
      <charset val="204"/>
    </font>
    <font>
      <sz val="8"/>
      <color theme="1"/>
      <name val="Times New Roman"/>
      <family val="1"/>
      <charset val="204"/>
    </font>
    <font>
      <b/>
      <sz val="8"/>
      <color theme="1"/>
      <name val="Calibri"/>
      <family val="2"/>
      <charset val="204"/>
      <scheme val="minor"/>
    </font>
    <font>
      <sz val="8"/>
      <color theme="9" tint="-0.499984740745262"/>
      <name val="Times New Roman"/>
      <family val="1"/>
      <charset val="204"/>
    </font>
    <font>
      <sz val="11"/>
      <color theme="9" tint="-0.499984740745262"/>
      <name val="Calibri"/>
      <family val="2"/>
      <charset val="204"/>
      <scheme val="minor"/>
    </font>
    <font>
      <sz val="8"/>
      <color theme="9" tint="-0.499984740745262"/>
      <name val="Calibri"/>
      <family val="2"/>
      <charset val="204"/>
      <scheme val="minor"/>
    </font>
    <font>
      <sz val="8"/>
      <color rgb="FFFF0000"/>
      <name val="Times New Roman"/>
      <family val="1"/>
      <charset val="204"/>
    </font>
    <font>
      <b/>
      <sz val="8"/>
      <color rgb="FFFF0000"/>
      <name val="Times New Roman"/>
      <family val="1"/>
      <charset val="204"/>
    </font>
    <font>
      <sz val="8"/>
      <name val="Times New Roman"/>
      <family val="1"/>
      <charset val="204"/>
    </font>
    <font>
      <b/>
      <sz val="8"/>
      <name val="Times New Roman"/>
      <family val="1"/>
      <charset val="204"/>
    </font>
    <font>
      <sz val="11"/>
      <name val="Calibri"/>
      <family val="2"/>
      <charset val="204"/>
      <scheme val="minor"/>
    </font>
    <font>
      <b/>
      <sz val="8"/>
      <name val="Calibri"/>
      <family val="2"/>
      <charset val="204"/>
      <scheme val="minor"/>
    </font>
    <font>
      <b/>
      <sz val="11"/>
      <name val="Calibri"/>
      <family val="2"/>
      <charset val="204"/>
      <scheme val="minor"/>
    </font>
    <font>
      <sz val="8"/>
      <name val="Calibri"/>
      <family val="2"/>
      <charset val="204"/>
      <scheme val="minor"/>
    </font>
    <font>
      <b/>
      <sz val="8"/>
      <color theme="9" tint="-0.499984740745262"/>
      <name val="Times New Roman"/>
      <family val="1"/>
      <charset val="204"/>
    </font>
    <font>
      <b/>
      <sz val="8"/>
      <color theme="9" tint="-0.499984740745262"/>
      <name val="Calibri"/>
      <family val="2"/>
      <charset val="204"/>
      <scheme val="minor"/>
    </font>
    <font>
      <b/>
      <sz val="11"/>
      <color theme="9" tint="-0.499984740745262"/>
      <name val="Calibri"/>
      <family val="2"/>
      <charset val="204"/>
      <scheme val="minor"/>
    </font>
    <font>
      <sz val="11"/>
      <color theme="1"/>
      <name val="Times New Roman"/>
      <family val="1"/>
      <charset val="204"/>
    </font>
    <font>
      <sz val="10"/>
      <color theme="1"/>
      <name val="Times New Roman"/>
      <family val="1"/>
      <charset val="204"/>
    </font>
    <font>
      <sz val="10"/>
      <color rgb="FF000000"/>
      <name val="Arial Cyr"/>
    </font>
    <font>
      <sz val="11"/>
      <color rgb="FF000000"/>
      <name val="Times New Roman"/>
      <family val="1"/>
      <charset val="204"/>
    </font>
    <font>
      <sz val="11"/>
      <name val="Calibri"/>
      <family val="2"/>
      <scheme val="minor"/>
    </font>
    <font>
      <b/>
      <sz val="12"/>
      <color rgb="FF000000"/>
      <name val="Arial Cyr"/>
    </font>
    <font>
      <b/>
      <sz val="10"/>
      <color rgb="FF000000"/>
      <name val="Arial CYR"/>
    </font>
    <font>
      <sz val="11"/>
      <name val="Times New Roman"/>
      <family val="1"/>
      <charset val="204"/>
    </font>
    <font>
      <sz val="11"/>
      <color indexed="8"/>
      <name val="Calibri"/>
      <family val="2"/>
    </font>
    <font>
      <b/>
      <sz val="9"/>
      <color indexed="8"/>
      <name val="Calibri"/>
      <family val="2"/>
    </font>
    <font>
      <b/>
      <sz val="9"/>
      <color indexed="62"/>
      <name val="Arial"/>
      <family val="2"/>
    </font>
    <font>
      <sz val="9"/>
      <name val="Arial"/>
      <family val="2"/>
    </font>
    <font>
      <sz val="11"/>
      <color theme="3" tint="0.39997558519241921"/>
      <name val="Calibri"/>
      <family val="2"/>
    </font>
    <font>
      <sz val="11"/>
      <name val="Calibri"/>
      <family val="2"/>
    </font>
    <font>
      <sz val="8"/>
      <name val="Arial"/>
      <family val="2"/>
    </font>
    <font>
      <sz val="8"/>
      <color indexed="8"/>
      <name val="Calibri"/>
      <family val="2"/>
    </font>
    <font>
      <b/>
      <sz val="11"/>
      <color indexed="8"/>
      <name val="Calibri"/>
      <family val="2"/>
      <charset val="204"/>
    </font>
    <font>
      <b/>
      <sz val="10"/>
      <color indexed="8"/>
      <name val="Calibri"/>
      <family val="2"/>
      <charset val="204"/>
    </font>
    <font>
      <b/>
      <sz val="11"/>
      <color indexed="8"/>
      <name val="Calibri"/>
      <family val="2"/>
    </font>
    <font>
      <sz val="11"/>
      <color indexed="8"/>
      <name val="Calibri"/>
      <family val="2"/>
      <charset val="204"/>
    </font>
    <font>
      <sz val="12"/>
      <color indexed="8"/>
      <name val="Calibri"/>
      <family val="2"/>
    </font>
    <font>
      <sz val="10"/>
      <color indexed="8"/>
      <name val="Calibri"/>
      <family val="2"/>
    </font>
    <font>
      <b/>
      <sz val="10"/>
      <color indexed="8"/>
      <name val="Calibri"/>
      <family val="2"/>
    </font>
    <font>
      <sz val="9"/>
      <color indexed="8"/>
      <name val="Calibri"/>
      <family val="2"/>
    </font>
    <font>
      <b/>
      <sz val="11"/>
      <name val="Times New Roman"/>
      <family val="1"/>
      <charset val="204"/>
    </font>
    <font>
      <sz val="10"/>
      <name val="Times New Roman"/>
      <family val="1"/>
      <charset val="204"/>
    </font>
    <font>
      <sz val="6"/>
      <color theme="1"/>
      <name val="Times New Roman"/>
      <family val="1"/>
      <charset val="204"/>
    </font>
    <font>
      <sz val="11"/>
      <color theme="1"/>
      <name val="Calibri"/>
      <family val="2"/>
      <charset val="204"/>
      <scheme val="minor"/>
    </font>
    <font>
      <sz val="14"/>
      <color theme="1"/>
      <name val="Calibri"/>
      <family val="2"/>
      <charset val="204"/>
      <scheme val="minor"/>
    </font>
    <font>
      <sz val="12"/>
      <color theme="1"/>
      <name val="Calibri"/>
      <family val="2"/>
      <charset val="204"/>
      <scheme val="minor"/>
    </font>
    <font>
      <b/>
      <sz val="12"/>
      <color theme="1"/>
      <name val="Times New Roman"/>
      <family val="1"/>
      <charset val="204"/>
    </font>
    <font>
      <u/>
      <sz val="11"/>
      <color theme="10"/>
      <name val="Calibri"/>
      <family val="2"/>
      <charset val="204"/>
      <scheme val="minor"/>
    </font>
    <font>
      <strike/>
      <sz val="14"/>
      <color rgb="FFFF0000"/>
      <name val="Calibri"/>
      <family val="2"/>
      <charset val="204"/>
      <scheme val="minor"/>
    </font>
    <font>
      <strike/>
      <sz val="12"/>
      <color rgb="FFFF0000"/>
      <name val="Calibri"/>
      <family val="2"/>
      <charset val="204"/>
      <scheme val="minor"/>
    </font>
    <font>
      <sz val="12"/>
      <name val="Times New Roman"/>
      <family val="1"/>
      <charset val="204"/>
    </font>
    <font>
      <sz val="10"/>
      <name val="Arial"/>
      <family val="2"/>
      <charset val="204"/>
    </font>
    <font>
      <sz val="10"/>
      <color indexed="8"/>
      <name val="Times New Roman"/>
      <family val="1"/>
      <charset val="204"/>
    </font>
    <font>
      <b/>
      <sz val="10"/>
      <name val="Times New Roman"/>
      <family val="1"/>
      <charset val="204"/>
    </font>
    <font>
      <sz val="10"/>
      <color rgb="FF000000"/>
      <name val="Times New Roman"/>
      <family val="1"/>
      <charset val="204"/>
    </font>
    <font>
      <b/>
      <sz val="10"/>
      <name val="Calibri"/>
      <family val="2"/>
      <charset val="204"/>
    </font>
    <font>
      <b/>
      <sz val="9"/>
      <color indexed="81"/>
      <name val="Tahoma"/>
      <family val="2"/>
      <charset val="204"/>
    </font>
    <font>
      <sz val="9"/>
      <color indexed="81"/>
      <name val="Tahoma"/>
      <family val="2"/>
      <charset val="204"/>
    </font>
    <font>
      <b/>
      <i/>
      <sz val="10"/>
      <name val="Times New Roman"/>
      <family val="1"/>
      <charset val="204"/>
    </font>
    <font>
      <b/>
      <i/>
      <sz val="11"/>
      <color theme="1"/>
      <name val="Calibri"/>
      <family val="2"/>
      <charset val="204"/>
      <scheme val="minor"/>
    </font>
  </fonts>
  <fills count="27">
    <fill>
      <patternFill patternType="none"/>
    </fill>
    <fill>
      <patternFill patternType="gray125"/>
    </fill>
    <fill>
      <patternFill patternType="solid">
        <fgColor theme="0"/>
        <bgColor indexed="64"/>
      </patternFill>
    </fill>
    <fill>
      <patternFill patternType="solid">
        <fgColor rgb="FFD7F9D9"/>
        <bgColor indexed="64"/>
      </patternFill>
    </fill>
    <fill>
      <patternFill patternType="solid">
        <fgColor rgb="FF93E9ED"/>
        <bgColor indexed="64"/>
      </patternFill>
    </fill>
    <fill>
      <patternFill patternType="solid">
        <fgColor rgb="FFC9FFF5"/>
        <bgColor indexed="64"/>
      </patternFill>
    </fill>
    <fill>
      <patternFill patternType="solid">
        <fgColor rgb="FF91EF95"/>
        <bgColor indexed="64"/>
      </patternFill>
    </fill>
    <fill>
      <patternFill patternType="solid">
        <fgColor rgb="FFF8AB88"/>
        <bgColor indexed="64"/>
      </patternFill>
    </fill>
    <fill>
      <patternFill patternType="solid">
        <fgColor rgb="FFFCD5C4"/>
        <bgColor indexed="64"/>
      </patternFill>
    </fill>
    <fill>
      <patternFill patternType="solid">
        <fgColor rgb="FFFFFF66"/>
        <bgColor indexed="64"/>
      </patternFill>
    </fill>
    <fill>
      <patternFill patternType="solid">
        <fgColor rgb="FFFFFFC1"/>
        <bgColor indexed="64"/>
      </patternFill>
    </fill>
    <fill>
      <patternFill patternType="solid">
        <fgColor rgb="FFFFFF00"/>
        <bgColor indexed="64"/>
      </patternFill>
    </fill>
    <fill>
      <patternFill patternType="solid">
        <fgColor rgb="FFF68AE9"/>
        <bgColor indexed="64"/>
      </patternFill>
    </fill>
    <fill>
      <patternFill patternType="solid">
        <fgColor rgb="FFFEC2FA"/>
        <bgColor indexed="64"/>
      </patternFill>
    </fill>
    <fill>
      <patternFill patternType="solid">
        <fgColor rgb="FFFFFFCC"/>
      </patternFill>
    </fill>
    <fill>
      <patternFill patternType="solid">
        <fgColor rgb="FF00B0F0"/>
        <bgColor indexed="64"/>
      </patternFill>
    </fill>
    <fill>
      <patternFill patternType="solid">
        <fgColor rgb="FFCCFFFF"/>
      </patternFill>
    </fill>
    <fill>
      <patternFill patternType="solid">
        <fgColor indexed="41"/>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theme="2" tint="-9.9978637043366805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medium">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55"/>
      </left>
      <right style="thin">
        <color indexed="44"/>
      </right>
      <top style="thin">
        <color indexed="55"/>
      </top>
      <bottom style="thin">
        <color indexed="55"/>
      </bottom>
      <diagonal/>
    </border>
    <border>
      <left style="thin">
        <color indexed="44"/>
      </left>
      <right style="thin">
        <color indexed="44"/>
      </right>
      <top style="thin">
        <color indexed="55"/>
      </top>
      <bottom style="thin">
        <color indexed="55"/>
      </bottom>
      <diagonal/>
    </border>
    <border>
      <left style="thin">
        <color indexed="44"/>
      </left>
      <right style="thin">
        <color indexed="44"/>
      </right>
      <top/>
      <bottom/>
      <diagonal/>
    </border>
    <border>
      <left style="thin">
        <color indexed="44"/>
      </left>
      <right style="thin">
        <color indexed="44"/>
      </right>
      <top/>
      <bottom style="thin">
        <color indexed="44"/>
      </bottom>
      <diagonal/>
    </border>
    <border>
      <left style="thin">
        <color indexed="44"/>
      </left>
      <right style="thin">
        <color indexed="44"/>
      </right>
      <top style="thin">
        <color indexed="44"/>
      </top>
      <bottom style="thin">
        <color indexed="4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s>
  <cellStyleXfs count="21">
    <xf numFmtId="0" fontId="0" fillId="0" borderId="0"/>
    <xf numFmtId="0" fontId="24" fillId="0" borderId="0">
      <alignment wrapText="1"/>
    </xf>
    <xf numFmtId="0" fontId="24" fillId="0" borderId="0"/>
    <xf numFmtId="0" fontId="26" fillId="0" borderId="0"/>
    <xf numFmtId="0" fontId="27" fillId="0" borderId="0">
      <alignment horizontal="center" wrapText="1"/>
    </xf>
    <xf numFmtId="0" fontId="27" fillId="0" borderId="0">
      <alignment horizontal="center"/>
    </xf>
    <xf numFmtId="0" fontId="24" fillId="0" borderId="0">
      <alignment horizontal="right"/>
    </xf>
    <xf numFmtId="0" fontId="24" fillId="0" borderId="3">
      <alignment horizontal="center" vertical="center" wrapText="1"/>
    </xf>
    <xf numFmtId="0" fontId="28" fillId="0" borderId="3">
      <alignment vertical="top" wrapText="1"/>
    </xf>
    <xf numFmtId="1" fontId="24" fillId="0" borderId="3">
      <alignment horizontal="center" vertical="top" shrinkToFit="1"/>
    </xf>
    <xf numFmtId="4" fontId="28" fillId="16" borderId="3">
      <alignment horizontal="right" vertical="top" shrinkToFit="1"/>
    </xf>
    <xf numFmtId="10" fontId="28" fillId="16" borderId="3">
      <alignment horizontal="right" vertical="top" shrinkToFit="1"/>
    </xf>
    <xf numFmtId="0" fontId="28" fillId="0" borderId="3">
      <alignment horizontal="left"/>
    </xf>
    <xf numFmtId="4" fontId="28" fillId="14" borderId="3">
      <alignment horizontal="right" vertical="top" shrinkToFit="1"/>
    </xf>
    <xf numFmtId="10" fontId="28" fillId="14" borderId="3">
      <alignment horizontal="right" vertical="top" shrinkToFit="1"/>
    </xf>
    <xf numFmtId="0" fontId="24" fillId="0" borderId="0">
      <alignment horizontal="left" wrapText="1"/>
    </xf>
    <xf numFmtId="0" fontId="30" fillId="0" borderId="0"/>
    <xf numFmtId="9" fontId="49" fillId="0" borderId="0" applyFont="0" applyFill="0" applyBorder="0" applyAlignment="0" applyProtection="0"/>
    <xf numFmtId="0" fontId="53" fillId="0" borderId="0" applyNumberFormat="0" applyFill="0" applyBorder="0" applyAlignment="0" applyProtection="0"/>
    <xf numFmtId="0" fontId="57" fillId="0" borderId="0"/>
    <xf numFmtId="164" fontId="41" fillId="0" borderId="0" applyFont="0" applyFill="0" applyBorder="0" applyAlignment="0" applyProtection="0"/>
  </cellStyleXfs>
  <cellXfs count="639">
    <xf numFmtId="0" fontId="0" fillId="0" borderId="0" xfId="0"/>
    <xf numFmtId="0" fontId="0" fillId="2" borderId="0" xfId="0" applyNumberFormat="1" applyFill="1" applyAlignment="1">
      <alignment horizontal="center"/>
    </xf>
    <xf numFmtId="0" fontId="0" fillId="2" borderId="0" xfId="0" applyFill="1"/>
    <xf numFmtId="0" fontId="0" fillId="2" borderId="0" xfId="0" applyFill="1" applyAlignment="1">
      <alignment horizontal="center"/>
    </xf>
    <xf numFmtId="43" fontId="0" fillId="2" borderId="0" xfId="0" applyNumberFormat="1" applyFill="1"/>
    <xf numFmtId="0" fontId="2" fillId="0" borderId="0" xfId="0" applyFont="1" applyFill="1" applyAlignment="1">
      <alignment horizontal="right" vertical="center"/>
    </xf>
    <xf numFmtId="0" fontId="3" fillId="2" borderId="0" xfId="0" applyFont="1" applyFill="1"/>
    <xf numFmtId="4" fontId="3" fillId="2" borderId="0" xfId="0" applyNumberFormat="1" applyFont="1" applyFill="1"/>
    <xf numFmtId="0" fontId="4" fillId="2" borderId="0" xfId="0" applyNumberFormat="1" applyFont="1" applyFill="1" applyAlignment="1">
      <alignment horizontal="center" wrapText="1"/>
    </xf>
    <xf numFmtId="0" fontId="5" fillId="2" borderId="0" xfId="0" applyNumberFormat="1" applyFont="1" applyFill="1" applyAlignment="1">
      <alignment horizontal="center" wrapText="1"/>
    </xf>
    <xf numFmtId="4" fontId="5" fillId="2" borderId="0" xfId="0" applyNumberFormat="1" applyFont="1" applyFill="1" applyAlignment="1">
      <alignment horizontal="center" wrapText="1"/>
    </xf>
    <xf numFmtId="43" fontId="5" fillId="2" borderId="0" xfId="0" applyNumberFormat="1" applyFont="1" applyFill="1" applyAlignment="1">
      <alignment horizontal="center" wrapText="1"/>
    </xf>
    <xf numFmtId="43" fontId="3" fillId="2" borderId="0" xfId="0" applyNumberFormat="1" applyFont="1" applyFill="1"/>
    <xf numFmtId="0" fontId="6" fillId="2" borderId="1" xfId="0" applyFont="1" applyFill="1" applyBorder="1" applyAlignment="1">
      <alignment horizontal="center" vertical="center" wrapText="1"/>
    </xf>
    <xf numFmtId="43" fontId="6" fillId="2" borderId="1" xfId="0" applyNumberFormat="1" applyFont="1" applyFill="1" applyBorder="1" applyAlignment="1">
      <alignment horizontal="center" vertical="center" wrapText="1"/>
    </xf>
    <xf numFmtId="43" fontId="6" fillId="2" borderId="1" xfId="0" applyNumberFormat="1" applyFont="1" applyFill="1" applyBorder="1" applyAlignment="1">
      <alignment vertical="center" wrapText="1"/>
    </xf>
    <xf numFmtId="0" fontId="6"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43" fontId="5" fillId="2" borderId="1" xfId="0" applyNumberFormat="1" applyFont="1" applyFill="1" applyBorder="1" applyAlignment="1">
      <alignment vertical="center" wrapText="1"/>
    </xf>
    <xf numFmtId="0" fontId="5" fillId="2" borderId="1" xfId="0" applyFont="1" applyFill="1" applyBorder="1" applyAlignment="1">
      <alignment horizontal="left" vertical="center" wrapText="1"/>
    </xf>
    <xf numFmtId="0" fontId="7" fillId="2" borderId="0" xfId="0" applyFont="1" applyFill="1"/>
    <xf numFmtId="4" fontId="7" fillId="2" borderId="0" xfId="0" applyNumberFormat="1" applyFont="1" applyFill="1"/>
    <xf numFmtId="0" fontId="1" fillId="2" borderId="0" xfId="0" applyFont="1" applyFill="1"/>
    <xf numFmtId="43" fontId="6" fillId="3" borderId="1" xfId="0" applyNumberFormat="1" applyFont="1" applyFill="1" applyBorder="1" applyAlignment="1">
      <alignment vertical="center" wrapText="1"/>
    </xf>
    <xf numFmtId="0" fontId="6" fillId="4" borderId="1" xfId="0" applyFont="1" applyFill="1" applyBorder="1" applyAlignment="1">
      <alignment horizontal="center" vertical="center" wrapText="1"/>
    </xf>
    <xf numFmtId="43" fontId="6" fillId="4" borderId="1" xfId="0" applyNumberFormat="1" applyFont="1" applyFill="1" applyBorder="1" applyAlignment="1">
      <alignment vertical="center" wrapText="1"/>
    </xf>
    <xf numFmtId="0" fontId="6" fillId="4"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43" fontId="5" fillId="5" borderId="1" xfId="0" applyNumberFormat="1" applyFont="1" applyFill="1" applyBorder="1" applyAlignment="1">
      <alignment vertical="center" wrapText="1"/>
    </xf>
    <xf numFmtId="0" fontId="5" fillId="5"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43" fontId="6" fillId="5" borderId="1" xfId="0" applyNumberFormat="1" applyFont="1" applyFill="1" applyBorder="1" applyAlignment="1">
      <alignment vertical="center" wrapText="1"/>
    </xf>
    <xf numFmtId="0" fontId="6" fillId="5" borderId="1" xfId="0" applyFont="1" applyFill="1" applyBorder="1" applyAlignment="1">
      <alignment horizontal="left" vertical="center" wrapText="1"/>
    </xf>
    <xf numFmtId="43" fontId="6" fillId="0" borderId="1" xfId="0" applyNumberFormat="1" applyFont="1" applyFill="1" applyBorder="1" applyAlignment="1">
      <alignment vertical="center" wrapText="1"/>
    </xf>
    <xf numFmtId="0" fontId="6" fillId="6" borderId="1" xfId="0" applyFont="1" applyFill="1" applyBorder="1" applyAlignment="1">
      <alignment horizontal="center" vertical="center" wrapText="1"/>
    </xf>
    <xf numFmtId="43" fontId="6" fillId="6" borderId="1" xfId="0" applyNumberFormat="1" applyFont="1" applyFill="1" applyBorder="1" applyAlignment="1">
      <alignment vertical="center" wrapText="1"/>
    </xf>
    <xf numFmtId="0" fontId="6" fillId="6"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43" fontId="5" fillId="3" borderId="1" xfId="0" applyNumberFormat="1" applyFont="1" applyFill="1" applyBorder="1" applyAlignment="1">
      <alignment vertical="center" wrapText="1"/>
    </xf>
    <xf numFmtId="0" fontId="5" fillId="3" borderId="1" xfId="0" applyFont="1" applyFill="1" applyBorder="1" applyAlignment="1">
      <alignment horizontal="left" vertical="center" wrapText="1"/>
    </xf>
    <xf numFmtId="0" fontId="5" fillId="7" borderId="1" xfId="0" applyFont="1" applyFill="1" applyBorder="1" applyAlignment="1">
      <alignment horizontal="center" vertical="center" wrapText="1"/>
    </xf>
    <xf numFmtId="43" fontId="5" fillId="7" borderId="1" xfId="0" applyNumberFormat="1" applyFont="1" applyFill="1" applyBorder="1" applyAlignment="1">
      <alignment vertical="center" wrapText="1"/>
    </xf>
    <xf numFmtId="0" fontId="5" fillId="7" borderId="1" xfId="0" applyFont="1" applyFill="1" applyBorder="1" applyAlignment="1">
      <alignment horizontal="left" vertical="center" wrapText="1"/>
    </xf>
    <xf numFmtId="43" fontId="7" fillId="2" borderId="0" xfId="0" applyNumberFormat="1" applyFont="1" applyFill="1"/>
    <xf numFmtId="0" fontId="6" fillId="7" borderId="1" xfId="0" applyFont="1" applyFill="1" applyBorder="1" applyAlignment="1">
      <alignment horizontal="center" vertical="center" wrapText="1"/>
    </xf>
    <xf numFmtId="43" fontId="6" fillId="7" borderId="1" xfId="0" applyNumberFormat="1" applyFont="1" applyFill="1" applyBorder="1" applyAlignment="1">
      <alignment vertical="center" wrapText="1"/>
    </xf>
    <xf numFmtId="0" fontId="6" fillId="7" borderId="1" xfId="0" applyFont="1" applyFill="1" applyBorder="1" applyAlignment="1">
      <alignment horizontal="left" vertical="center" wrapText="1"/>
    </xf>
    <xf numFmtId="0" fontId="5" fillId="8" borderId="1" xfId="0" applyFont="1" applyFill="1" applyBorder="1" applyAlignment="1">
      <alignment horizontal="center" vertical="center" wrapText="1"/>
    </xf>
    <xf numFmtId="43" fontId="5" fillId="8" borderId="1" xfId="0" applyNumberFormat="1" applyFont="1" applyFill="1" applyBorder="1" applyAlignment="1">
      <alignment vertical="center" wrapText="1"/>
    </xf>
    <xf numFmtId="0" fontId="5" fillId="8" borderId="1" xfId="0" applyFont="1" applyFill="1" applyBorder="1" applyAlignment="1">
      <alignment horizontal="left" vertical="center" wrapText="1"/>
    </xf>
    <xf numFmtId="0" fontId="6" fillId="8" borderId="1" xfId="0" applyFont="1" applyFill="1" applyBorder="1" applyAlignment="1">
      <alignment horizontal="center" vertical="center" wrapText="1"/>
    </xf>
    <xf numFmtId="43" fontId="6" fillId="8" borderId="1" xfId="0" applyNumberFormat="1" applyFont="1" applyFill="1" applyBorder="1" applyAlignment="1">
      <alignment vertical="center" wrapText="1"/>
    </xf>
    <xf numFmtId="0" fontId="6"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43" fontId="8" fillId="8" borderId="1" xfId="0" applyNumberFormat="1" applyFont="1" applyFill="1" applyBorder="1" applyAlignment="1">
      <alignment vertical="center" wrapText="1"/>
    </xf>
    <xf numFmtId="0" fontId="8" fillId="8" borderId="1" xfId="0" applyFont="1" applyFill="1" applyBorder="1" applyAlignment="1">
      <alignment horizontal="left" vertical="center" wrapText="1"/>
    </xf>
    <xf numFmtId="0" fontId="10" fillId="2" borderId="0" xfId="0" applyFont="1" applyFill="1"/>
    <xf numFmtId="4" fontId="10" fillId="2" borderId="0" xfId="0" applyNumberFormat="1" applyFont="1" applyFill="1"/>
    <xf numFmtId="0" fontId="9" fillId="2" borderId="0" xfId="0" applyFont="1" applyFill="1"/>
    <xf numFmtId="0" fontId="12" fillId="0" borderId="1" xfId="0" applyFont="1" applyFill="1" applyBorder="1" applyAlignment="1">
      <alignment horizontal="center" vertical="center" wrapText="1"/>
    </xf>
    <xf numFmtId="43" fontId="12" fillId="0" borderId="1" xfId="0" applyNumberFormat="1" applyFont="1" applyFill="1" applyBorder="1" applyAlignment="1">
      <alignment vertical="center" wrapText="1"/>
    </xf>
    <xf numFmtId="0" fontId="11" fillId="0" borderId="1" xfId="0" applyFont="1" applyFill="1" applyBorder="1" applyAlignment="1">
      <alignment horizontal="center" vertical="center" wrapText="1"/>
    </xf>
    <xf numFmtId="43" fontId="11" fillId="0" borderId="1" xfId="0" applyNumberFormat="1" applyFont="1" applyFill="1" applyBorder="1" applyAlignment="1">
      <alignment vertical="center" wrapText="1"/>
    </xf>
    <xf numFmtId="0" fontId="14" fillId="8" borderId="1" xfId="0" applyFont="1" applyFill="1" applyBorder="1" applyAlignment="1">
      <alignment horizontal="center" vertical="center" wrapText="1"/>
    </xf>
    <xf numFmtId="43" fontId="14" fillId="8" borderId="1" xfId="0" applyNumberFormat="1" applyFont="1" applyFill="1" applyBorder="1" applyAlignment="1">
      <alignment vertical="center" wrapText="1"/>
    </xf>
    <xf numFmtId="0" fontId="14" fillId="8" borderId="1" xfId="0" applyFont="1" applyFill="1" applyBorder="1" applyAlignment="1">
      <alignment horizontal="left" vertical="center" wrapText="1"/>
    </xf>
    <xf numFmtId="0" fontId="16" fillId="2" borderId="0" xfId="0" applyFont="1" applyFill="1"/>
    <xf numFmtId="4" fontId="16" fillId="2" borderId="0" xfId="0" applyNumberFormat="1" applyFont="1" applyFill="1"/>
    <xf numFmtId="0" fontId="17" fillId="2" borderId="0" xfId="0" applyFont="1" applyFill="1"/>
    <xf numFmtId="0" fontId="13" fillId="8" borderId="1" xfId="0" applyFont="1" applyFill="1" applyBorder="1" applyAlignment="1">
      <alignment horizontal="center" vertical="center" wrapText="1"/>
    </xf>
    <xf numFmtId="43" fontId="13" fillId="8" borderId="1" xfId="0" applyNumberFormat="1" applyFont="1" applyFill="1" applyBorder="1" applyAlignment="1">
      <alignment vertical="center" wrapText="1"/>
    </xf>
    <xf numFmtId="0" fontId="13" fillId="8" borderId="1" xfId="0" applyFont="1" applyFill="1" applyBorder="1" applyAlignment="1">
      <alignment horizontal="left" vertical="center" wrapText="1"/>
    </xf>
    <xf numFmtId="0" fontId="18" fillId="2" borderId="0" xfId="0" applyFont="1" applyFill="1"/>
    <xf numFmtId="4" fontId="18" fillId="2" borderId="0" xfId="0" applyNumberFormat="1" applyFont="1" applyFill="1"/>
    <xf numFmtId="0" fontId="15" fillId="2" borderId="0" xfId="0" applyFont="1" applyFill="1"/>
    <xf numFmtId="0" fontId="14" fillId="2" borderId="1" xfId="0" applyFont="1" applyFill="1" applyBorder="1" applyAlignment="1">
      <alignment horizontal="center" vertical="center" wrapText="1"/>
    </xf>
    <xf numFmtId="43" fontId="14" fillId="2" borderId="1" xfId="0" applyNumberFormat="1" applyFont="1" applyFill="1" applyBorder="1" applyAlignment="1">
      <alignment vertical="center" wrapText="1"/>
    </xf>
    <xf numFmtId="0" fontId="13" fillId="2" borderId="1" xfId="0" applyFont="1" applyFill="1" applyBorder="1" applyAlignment="1">
      <alignment horizontal="center" vertical="center" wrapText="1"/>
    </xf>
    <xf numFmtId="43" fontId="13" fillId="2" borderId="1" xfId="0" applyNumberFormat="1" applyFont="1" applyFill="1" applyBorder="1" applyAlignment="1">
      <alignment vertical="center" wrapText="1"/>
    </xf>
    <xf numFmtId="0" fontId="14"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43" fontId="12" fillId="2" borderId="1" xfId="0" applyNumberFormat="1" applyFont="1" applyFill="1" applyBorder="1" applyAlignment="1">
      <alignment vertical="center" wrapText="1"/>
    </xf>
    <xf numFmtId="0" fontId="11" fillId="2" borderId="1" xfId="0" applyFont="1" applyFill="1" applyBorder="1" applyAlignment="1">
      <alignment horizontal="center" vertical="center" wrapText="1"/>
    </xf>
    <xf numFmtId="43" fontId="11" fillId="2" borderId="1" xfId="0" applyNumberFormat="1" applyFont="1" applyFill="1" applyBorder="1" applyAlignment="1">
      <alignment vertical="center" wrapText="1"/>
    </xf>
    <xf numFmtId="0" fontId="6" fillId="9" borderId="1" xfId="0" applyFont="1" applyFill="1" applyBorder="1" applyAlignment="1">
      <alignment horizontal="center" vertical="center" wrapText="1"/>
    </xf>
    <xf numFmtId="43" fontId="6" fillId="9" borderId="1" xfId="0" applyNumberFormat="1" applyFont="1" applyFill="1" applyBorder="1" applyAlignment="1">
      <alignment vertical="center" wrapText="1"/>
    </xf>
    <xf numFmtId="0" fontId="6" fillId="9" borderId="1" xfId="0" applyFont="1" applyFill="1" applyBorder="1" applyAlignment="1">
      <alignment horizontal="left" vertical="center" wrapText="1"/>
    </xf>
    <xf numFmtId="0" fontId="6" fillId="10" borderId="1" xfId="0" applyFont="1" applyFill="1" applyBorder="1" applyAlignment="1">
      <alignment horizontal="center" vertical="center" wrapText="1"/>
    </xf>
    <xf numFmtId="43" fontId="6" fillId="10" borderId="1" xfId="0" applyNumberFormat="1" applyFont="1" applyFill="1" applyBorder="1" applyAlignment="1">
      <alignment vertical="center" wrapText="1"/>
    </xf>
    <xf numFmtId="0" fontId="6" fillId="10" borderId="1" xfId="0" applyFont="1" applyFill="1" applyBorder="1" applyAlignment="1">
      <alignment horizontal="left" vertical="center" wrapText="1"/>
    </xf>
    <xf numFmtId="0" fontId="14" fillId="10" borderId="1" xfId="0" applyFont="1" applyFill="1" applyBorder="1" applyAlignment="1">
      <alignment horizontal="center" vertical="center" wrapText="1"/>
    </xf>
    <xf numFmtId="43" fontId="14" fillId="10" borderId="1" xfId="0" applyNumberFormat="1" applyFont="1" applyFill="1" applyBorder="1" applyAlignment="1">
      <alignment vertical="center" wrapText="1"/>
    </xf>
    <xf numFmtId="0" fontId="14" fillId="10" borderId="1" xfId="0" applyFont="1" applyFill="1" applyBorder="1" applyAlignment="1">
      <alignment horizontal="left" vertical="center" wrapText="1"/>
    </xf>
    <xf numFmtId="0" fontId="13" fillId="10" borderId="1" xfId="0" applyFont="1" applyFill="1" applyBorder="1" applyAlignment="1">
      <alignment horizontal="center" vertical="center" wrapText="1"/>
    </xf>
    <xf numFmtId="43" fontId="13" fillId="10" borderId="1" xfId="0" applyNumberFormat="1" applyFont="1" applyFill="1" applyBorder="1" applyAlignment="1">
      <alignment vertical="center" wrapText="1"/>
    </xf>
    <xf numFmtId="0" fontId="13" fillId="10" borderId="1" xfId="0" applyFont="1" applyFill="1" applyBorder="1" applyAlignment="1">
      <alignment horizontal="left" vertical="center" wrapText="1"/>
    </xf>
    <xf numFmtId="43" fontId="18" fillId="2" borderId="0" xfId="0" applyNumberFormat="1" applyFont="1" applyFill="1"/>
    <xf numFmtId="43" fontId="6" fillId="11" borderId="1" xfId="0" applyNumberFormat="1" applyFont="1" applyFill="1" applyBorder="1" applyAlignment="1">
      <alignment vertical="center" wrapText="1"/>
    </xf>
    <xf numFmtId="0" fontId="5" fillId="12" borderId="1" xfId="0" applyFont="1" applyFill="1" applyBorder="1" applyAlignment="1">
      <alignment horizontal="center" vertical="center" wrapText="1"/>
    </xf>
    <xf numFmtId="43" fontId="5" fillId="12" borderId="1" xfId="0" applyNumberFormat="1" applyFont="1" applyFill="1" applyBorder="1" applyAlignment="1">
      <alignment vertical="center" wrapText="1"/>
    </xf>
    <xf numFmtId="0" fontId="5" fillId="12" borderId="1" xfId="0" applyFont="1" applyFill="1" applyBorder="1" applyAlignment="1">
      <alignment horizontal="left" vertical="center" wrapText="1"/>
    </xf>
    <xf numFmtId="0" fontId="6" fillId="12" borderId="1" xfId="0" applyFont="1" applyFill="1" applyBorder="1" applyAlignment="1">
      <alignment horizontal="center" vertical="center" wrapText="1"/>
    </xf>
    <xf numFmtId="43" fontId="6" fillId="12" borderId="1" xfId="0" applyNumberFormat="1" applyFont="1" applyFill="1" applyBorder="1" applyAlignment="1">
      <alignment vertical="center" wrapText="1"/>
    </xf>
    <xf numFmtId="0" fontId="6" fillId="12" borderId="1" xfId="0" applyFont="1" applyFill="1" applyBorder="1" applyAlignment="1">
      <alignment horizontal="left" vertical="center" wrapText="1"/>
    </xf>
    <xf numFmtId="0" fontId="5" fillId="13" borderId="1" xfId="0" applyFont="1" applyFill="1" applyBorder="1" applyAlignment="1">
      <alignment horizontal="center" vertical="center" wrapText="1"/>
    </xf>
    <xf numFmtId="43" fontId="5" fillId="13" borderId="1" xfId="0" applyNumberFormat="1" applyFont="1" applyFill="1" applyBorder="1" applyAlignment="1">
      <alignment vertical="center" wrapText="1"/>
    </xf>
    <xf numFmtId="0" fontId="5" fillId="13" borderId="1" xfId="0" applyFont="1" applyFill="1" applyBorder="1" applyAlignment="1">
      <alignment horizontal="left" vertical="center" wrapText="1"/>
    </xf>
    <xf numFmtId="0" fontId="6" fillId="13" borderId="1" xfId="0" applyFont="1" applyFill="1" applyBorder="1" applyAlignment="1">
      <alignment horizontal="center" vertical="center" wrapText="1"/>
    </xf>
    <xf numFmtId="43" fontId="6" fillId="13" borderId="1" xfId="0" applyNumberFormat="1" applyFont="1" applyFill="1" applyBorder="1" applyAlignment="1">
      <alignment vertical="center" wrapText="1"/>
    </xf>
    <xf numFmtId="0" fontId="6" fillId="13" borderId="1" xfId="0" applyFont="1" applyFill="1" applyBorder="1" applyAlignment="1">
      <alignment horizontal="left" vertical="center" wrapText="1"/>
    </xf>
    <xf numFmtId="0" fontId="19" fillId="13" borderId="1" xfId="0" applyFont="1" applyFill="1" applyBorder="1" applyAlignment="1">
      <alignment horizontal="center" vertical="center" wrapText="1"/>
    </xf>
    <xf numFmtId="43" fontId="19" fillId="13" borderId="1" xfId="0" applyNumberFormat="1" applyFont="1" applyFill="1" applyBorder="1" applyAlignment="1">
      <alignment vertical="center" wrapText="1"/>
    </xf>
    <xf numFmtId="0" fontId="19" fillId="13" borderId="1" xfId="0" applyFont="1" applyFill="1" applyBorder="1" applyAlignment="1">
      <alignment horizontal="left" vertical="center" wrapText="1"/>
    </xf>
    <xf numFmtId="0" fontId="20" fillId="2" borderId="0" xfId="0" applyFont="1" applyFill="1"/>
    <xf numFmtId="4" fontId="20" fillId="2" borderId="0" xfId="0" applyNumberFormat="1" applyFont="1" applyFill="1"/>
    <xf numFmtId="0" fontId="21" fillId="2" borderId="0" xfId="0" applyFont="1" applyFill="1"/>
    <xf numFmtId="0" fontId="8" fillId="13" borderId="1" xfId="0" applyFont="1" applyFill="1" applyBorder="1" applyAlignment="1">
      <alignment horizontal="center" vertical="center" wrapText="1"/>
    </xf>
    <xf numFmtId="43" fontId="8" fillId="13" borderId="1" xfId="0" applyNumberFormat="1" applyFont="1" applyFill="1" applyBorder="1" applyAlignment="1">
      <alignment vertical="center" wrapText="1"/>
    </xf>
    <xf numFmtId="0" fontId="8" fillId="13" borderId="1" xfId="0" applyFont="1" applyFill="1" applyBorder="1" applyAlignment="1">
      <alignment horizontal="left" vertical="center" wrapText="1"/>
    </xf>
    <xf numFmtId="0" fontId="19" fillId="2" borderId="1" xfId="0" applyFont="1" applyFill="1" applyBorder="1" applyAlignment="1">
      <alignment horizontal="center" vertical="center" wrapText="1"/>
    </xf>
    <xf numFmtId="43" fontId="19" fillId="2" borderId="1" xfId="0" applyNumberFormat="1" applyFont="1" applyFill="1" applyBorder="1" applyAlignment="1">
      <alignment vertical="center" wrapText="1"/>
    </xf>
    <xf numFmtId="0" fontId="8" fillId="2" borderId="1" xfId="0" applyFont="1" applyFill="1" applyBorder="1" applyAlignment="1">
      <alignment horizontal="center" vertical="center" wrapText="1"/>
    </xf>
    <xf numFmtId="43" fontId="8" fillId="2" borderId="1" xfId="0" applyNumberFormat="1" applyFont="1" applyFill="1" applyBorder="1" applyAlignment="1">
      <alignment vertical="center" wrapText="1"/>
    </xf>
    <xf numFmtId="0" fontId="14" fillId="13" borderId="1" xfId="0" applyFont="1" applyFill="1" applyBorder="1" applyAlignment="1">
      <alignment horizontal="center" vertical="center" wrapText="1"/>
    </xf>
    <xf numFmtId="43" fontId="14" fillId="13" borderId="1" xfId="0" applyNumberFormat="1" applyFont="1" applyFill="1" applyBorder="1" applyAlignment="1">
      <alignment vertical="center" wrapText="1"/>
    </xf>
    <xf numFmtId="0" fontId="14" fillId="13" borderId="1" xfId="0" applyFont="1" applyFill="1" applyBorder="1" applyAlignment="1">
      <alignment horizontal="left" vertical="center" wrapText="1"/>
    </xf>
    <xf numFmtId="0" fontId="13" fillId="13" borderId="1" xfId="0" applyFont="1" applyFill="1" applyBorder="1" applyAlignment="1">
      <alignment horizontal="center" vertical="center" wrapText="1"/>
    </xf>
    <xf numFmtId="43" fontId="13" fillId="13" borderId="1" xfId="0" applyNumberFormat="1" applyFont="1" applyFill="1" applyBorder="1" applyAlignment="1">
      <alignment vertical="center" wrapText="1"/>
    </xf>
    <xf numFmtId="0" fontId="13" fillId="13" borderId="1" xfId="0" applyFont="1" applyFill="1" applyBorder="1" applyAlignment="1">
      <alignment horizontal="left" vertical="center" wrapText="1"/>
    </xf>
    <xf numFmtId="43" fontId="13" fillId="0" borderId="1" xfId="0" applyNumberFormat="1" applyFont="1" applyFill="1" applyBorder="1" applyAlignment="1">
      <alignment vertical="center" wrapText="1"/>
    </xf>
    <xf numFmtId="0" fontId="13" fillId="2"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2" borderId="1" xfId="0" applyFont="1" applyFill="1" applyBorder="1" applyAlignment="1">
      <alignment horizontal="left" vertical="center" wrapText="1"/>
    </xf>
    <xf numFmtId="0" fontId="6" fillId="12"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9" borderId="1" xfId="0" applyFont="1" applyFill="1" applyBorder="1" applyAlignment="1">
      <alignment horizontal="left" vertical="center" wrapText="1"/>
    </xf>
    <xf numFmtId="0" fontId="6" fillId="9"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left" vertical="center" wrapText="1"/>
    </xf>
    <xf numFmtId="0" fontId="6" fillId="7"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6"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4" fillId="2" borderId="0" xfId="0" applyNumberFormat="1" applyFont="1" applyFill="1" applyAlignment="1">
      <alignment horizontal="center" wrapText="1"/>
    </xf>
    <xf numFmtId="43" fontId="6" fillId="2" borderId="1" xfId="0" applyNumberFormat="1" applyFont="1" applyFill="1" applyBorder="1" applyAlignment="1">
      <alignment horizontal="center" vertical="center" wrapText="1"/>
    </xf>
    <xf numFmtId="43" fontId="4" fillId="2" borderId="0" xfId="0" applyNumberFormat="1" applyFont="1" applyFill="1" applyAlignment="1">
      <alignment horizontal="center" wrapText="1"/>
    </xf>
    <xf numFmtId="0" fontId="5" fillId="0" borderId="0" xfId="0" applyNumberFormat="1" applyFont="1" applyFill="1" applyAlignment="1">
      <alignment horizontal="center" wrapText="1"/>
    </xf>
    <xf numFmtId="43" fontId="5" fillId="0" borderId="0" xfId="0" applyNumberFormat="1" applyFont="1" applyFill="1" applyAlignment="1">
      <alignment horizontal="center" wrapText="1"/>
    </xf>
    <xf numFmtId="0" fontId="22" fillId="2" borderId="0" xfId="0" applyFont="1" applyFill="1" applyAlignment="1">
      <alignment wrapText="1"/>
    </xf>
    <xf numFmtId="43" fontId="22" fillId="2" borderId="0" xfId="0" applyNumberFormat="1" applyFont="1" applyFill="1" applyAlignment="1">
      <alignment wrapText="1"/>
    </xf>
    <xf numFmtId="0" fontId="6" fillId="2" borderId="0" xfId="0" applyFont="1" applyFill="1" applyAlignment="1">
      <alignment wrapText="1"/>
    </xf>
    <xf numFmtId="4" fontId="6" fillId="2" borderId="0" xfId="0" applyNumberFormat="1" applyFont="1" applyFill="1" applyAlignment="1">
      <alignment wrapText="1"/>
    </xf>
    <xf numFmtId="0" fontId="23" fillId="2" borderId="0" xfId="0" applyFont="1" applyFill="1" applyAlignment="1">
      <alignment wrapText="1"/>
    </xf>
    <xf numFmtId="0" fontId="22" fillId="2" borderId="2" xfId="0" applyFont="1" applyFill="1" applyBorder="1" applyAlignment="1">
      <alignment wrapText="1"/>
    </xf>
    <xf numFmtId="43" fontId="22" fillId="2" borderId="2" xfId="0" applyNumberFormat="1" applyFont="1" applyFill="1" applyBorder="1" applyAlignment="1">
      <alignment wrapText="1"/>
    </xf>
    <xf numFmtId="43" fontId="23" fillId="2" borderId="0" xfId="0" applyNumberFormat="1" applyFont="1" applyFill="1" applyAlignment="1">
      <alignment wrapText="1"/>
    </xf>
    <xf numFmtId="4" fontId="23" fillId="2" borderId="0" xfId="0" applyNumberFormat="1" applyFont="1" applyFill="1" applyAlignment="1">
      <alignment wrapText="1"/>
    </xf>
    <xf numFmtId="0" fontId="4" fillId="2" borderId="0" xfId="0" applyNumberFormat="1" applyFont="1" applyFill="1" applyAlignment="1">
      <alignment horizontal="center" wrapText="1"/>
    </xf>
    <xf numFmtId="0" fontId="6" fillId="2" borderId="1" xfId="0" applyFont="1" applyFill="1" applyBorder="1" applyAlignment="1">
      <alignment horizontal="center" vertical="center" wrapText="1"/>
    </xf>
    <xf numFmtId="43"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7" borderId="1" xfId="0" applyFont="1" applyFill="1" applyBorder="1" applyAlignment="1">
      <alignment horizontal="left" vertical="center" wrapText="1"/>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6" fillId="9" borderId="1" xfId="0" applyFont="1" applyFill="1" applyBorder="1" applyAlignment="1">
      <alignment horizontal="left" vertical="center" wrapText="1"/>
    </xf>
    <xf numFmtId="0" fontId="6"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2" borderId="1" xfId="0" applyFont="1" applyFill="1" applyBorder="1" applyAlignment="1">
      <alignment horizontal="left" vertical="center" wrapText="1"/>
    </xf>
    <xf numFmtId="0" fontId="6" fillId="12"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25" fillId="0" borderId="0" xfId="2" applyNumberFormat="1" applyFont="1" applyFill="1" applyAlignment="1" applyProtection="1">
      <alignment vertical="center"/>
    </xf>
    <xf numFmtId="0" fontId="26" fillId="0" borderId="0" xfId="3" applyProtection="1">
      <protection locked="0"/>
    </xf>
    <xf numFmtId="0" fontId="25" fillId="15" borderId="3" xfId="8" applyNumberFormat="1" applyFont="1" applyFill="1" applyAlignment="1" applyProtection="1">
      <alignment vertical="center" wrapText="1"/>
    </xf>
    <xf numFmtId="1" fontId="25" fillId="15" borderId="3" xfId="9" applyNumberFormat="1" applyFont="1" applyFill="1" applyAlignment="1" applyProtection="1">
      <alignment horizontal="center" vertical="center" shrinkToFit="1"/>
    </xf>
    <xf numFmtId="4" fontId="25" fillId="15" borderId="3" xfId="10" applyNumberFormat="1" applyFont="1" applyFill="1" applyAlignment="1" applyProtection="1">
      <alignment horizontal="right" vertical="center" shrinkToFit="1"/>
    </xf>
    <xf numFmtId="10" fontId="25" fillId="15" borderId="3" xfId="11" applyNumberFormat="1" applyFont="1" applyFill="1" applyAlignment="1" applyProtection="1">
      <alignment horizontal="right" vertical="center" shrinkToFit="1"/>
    </xf>
    <xf numFmtId="0" fontId="25" fillId="11" borderId="3" xfId="8" applyNumberFormat="1" applyFont="1" applyFill="1" applyAlignment="1" applyProtection="1">
      <alignment vertical="center" wrapText="1"/>
    </xf>
    <xf numFmtId="1" fontId="25" fillId="0" borderId="3" xfId="9" applyNumberFormat="1" applyFont="1" applyAlignment="1" applyProtection="1">
      <alignment horizontal="center" vertical="center" shrinkToFit="1"/>
    </xf>
    <xf numFmtId="4" fontId="25" fillId="0" borderId="3" xfId="10" applyNumberFormat="1" applyFont="1" applyFill="1" applyAlignment="1" applyProtection="1">
      <alignment horizontal="right" vertical="center" shrinkToFit="1"/>
    </xf>
    <xf numFmtId="10" fontId="25" fillId="0" borderId="3" xfId="11" applyNumberFormat="1" applyFont="1" applyFill="1" applyAlignment="1" applyProtection="1">
      <alignment horizontal="right" vertical="center" shrinkToFit="1"/>
    </xf>
    <xf numFmtId="0" fontId="25" fillId="0" borderId="3" xfId="8" applyNumberFormat="1" applyFont="1" applyAlignment="1" applyProtection="1">
      <alignment vertical="center" wrapText="1"/>
    </xf>
    <xf numFmtId="1" fontId="25" fillId="11" borderId="4" xfId="9" applyNumberFormat="1" applyFont="1" applyFill="1" applyBorder="1" applyAlignment="1" applyProtection="1">
      <alignment vertical="center" shrinkToFit="1"/>
    </xf>
    <xf numFmtId="1" fontId="25" fillId="11" borderId="3" xfId="9" applyNumberFormat="1" applyFont="1" applyFill="1" applyAlignment="1" applyProtection="1">
      <alignment horizontal="center" vertical="center" shrinkToFit="1"/>
    </xf>
    <xf numFmtId="4" fontId="25" fillId="11" borderId="3" xfId="10" applyNumberFormat="1" applyFont="1" applyFill="1" applyAlignment="1" applyProtection="1">
      <alignment horizontal="right" vertical="center" shrinkToFit="1"/>
    </xf>
    <xf numFmtId="10" fontId="25" fillId="11" borderId="3" xfId="11" applyNumberFormat="1" applyFont="1" applyFill="1" applyAlignment="1" applyProtection="1">
      <alignment horizontal="right" vertical="center" shrinkToFit="1"/>
    </xf>
    <xf numFmtId="1" fontId="25" fillId="11" borderId="5" xfId="9" applyNumberFormat="1" applyFont="1" applyFill="1" applyBorder="1" applyAlignment="1" applyProtection="1">
      <alignment vertical="center" shrinkToFit="1"/>
    </xf>
    <xf numFmtId="1" fontId="25" fillId="11" borderId="6" xfId="9" applyNumberFormat="1" applyFont="1" applyFill="1" applyBorder="1" applyAlignment="1" applyProtection="1">
      <alignment vertical="center" shrinkToFit="1"/>
    </xf>
    <xf numFmtId="4" fontId="22" fillId="11" borderId="7" xfId="3" applyNumberFormat="1" applyFont="1" applyFill="1" applyBorder="1" applyAlignment="1">
      <alignment horizontal="right" vertical="center"/>
    </xf>
    <xf numFmtId="4" fontId="22" fillId="11" borderId="1" xfId="3" applyNumberFormat="1" applyFont="1" applyFill="1" applyBorder="1" applyAlignment="1">
      <alignment horizontal="right" vertical="center"/>
    </xf>
    <xf numFmtId="0" fontId="25" fillId="0" borderId="3" xfId="8" applyNumberFormat="1" applyFont="1" applyFill="1" applyAlignment="1" applyProtection="1">
      <alignment vertical="center" wrapText="1"/>
    </xf>
    <xf numFmtId="1" fontId="25" fillId="0" borderId="3" xfId="9" applyNumberFormat="1" applyFont="1" applyFill="1" applyAlignment="1" applyProtection="1">
      <alignment horizontal="center" vertical="center" shrinkToFit="1"/>
    </xf>
    <xf numFmtId="0" fontId="25" fillId="0" borderId="8" xfId="12" applyNumberFormat="1" applyFont="1" applyBorder="1" applyAlignment="1" applyProtection="1">
      <alignment vertical="center"/>
    </xf>
    <xf numFmtId="0" fontId="25" fillId="0" borderId="9" xfId="12" applyFont="1" applyBorder="1" applyAlignment="1">
      <alignment vertical="center"/>
    </xf>
    <xf numFmtId="0" fontId="25" fillId="0" borderId="10" xfId="12" applyFont="1" applyBorder="1" applyAlignment="1">
      <alignment vertical="center"/>
    </xf>
    <xf numFmtId="0" fontId="25" fillId="0" borderId="3" xfId="12" applyFont="1" applyAlignment="1">
      <alignment horizontal="left" vertical="center"/>
    </xf>
    <xf numFmtId="4" fontId="25" fillId="0" borderId="3" xfId="13" applyNumberFormat="1" applyFont="1" applyFill="1" applyAlignment="1" applyProtection="1">
      <alignment horizontal="right" vertical="center" shrinkToFit="1"/>
    </xf>
    <xf numFmtId="10" fontId="25" fillId="0" borderId="3" xfId="14" applyNumberFormat="1" applyFont="1" applyFill="1" applyAlignment="1" applyProtection="1">
      <alignment horizontal="right" vertical="center" shrinkToFit="1"/>
    </xf>
    <xf numFmtId="0" fontId="25" fillId="0" borderId="0" xfId="2" applyNumberFormat="1" applyFont="1" applyAlignment="1" applyProtection="1">
      <alignment vertical="center"/>
    </xf>
    <xf numFmtId="0" fontId="25" fillId="0" borderId="0" xfId="15" applyNumberFormat="1" applyFont="1" applyAlignment="1" applyProtection="1">
      <alignment vertical="center" wrapText="1"/>
    </xf>
    <xf numFmtId="0" fontId="25" fillId="0" borderId="0" xfId="15" applyFont="1" applyAlignment="1">
      <alignment vertical="center" wrapText="1"/>
    </xf>
    <xf numFmtId="4" fontId="25" fillId="0" borderId="0" xfId="15" applyNumberFormat="1" applyFont="1" applyAlignment="1">
      <alignment vertical="center" wrapText="1"/>
    </xf>
    <xf numFmtId="4" fontId="25" fillId="0" borderId="0" xfId="15" applyNumberFormat="1" applyFont="1" applyFill="1" applyAlignment="1" applyProtection="1">
      <alignment horizontal="left" vertical="center" wrapText="1"/>
    </xf>
    <xf numFmtId="0" fontId="25" fillId="0" borderId="0" xfId="15" applyNumberFormat="1" applyFont="1" applyFill="1" applyAlignment="1" applyProtection="1">
      <alignment horizontal="left" vertical="center" wrapText="1"/>
    </xf>
    <xf numFmtId="0" fontId="29" fillId="0" borderId="0" xfId="3" applyFont="1" applyAlignment="1" applyProtection="1">
      <alignment vertical="center"/>
      <protection locked="0"/>
    </xf>
    <xf numFmtId="4" fontId="29" fillId="0" borderId="0" xfId="3" applyNumberFormat="1" applyFont="1" applyFill="1" applyAlignment="1" applyProtection="1">
      <alignment vertical="center"/>
      <protection locked="0"/>
    </xf>
    <xf numFmtId="0" fontId="29" fillId="0" borderId="0" xfId="3" applyFont="1" applyFill="1" applyAlignment="1" applyProtection="1">
      <alignment vertical="center"/>
      <protection locked="0"/>
    </xf>
    <xf numFmtId="4" fontId="29" fillId="0" borderId="0" xfId="3" applyNumberFormat="1" applyFont="1" applyAlignment="1" applyProtection="1">
      <alignment vertical="center"/>
      <protection locked="0"/>
    </xf>
    <xf numFmtId="0" fontId="24" fillId="0" borderId="0" xfId="2" applyNumberFormat="1" applyAlignment="1" applyProtection="1">
      <alignment vertical="center"/>
    </xf>
    <xf numFmtId="0" fontId="26" fillId="0" borderId="0" xfId="3" applyAlignment="1" applyProtection="1">
      <alignment vertical="center"/>
      <protection locked="0"/>
    </xf>
    <xf numFmtId="4" fontId="26" fillId="0" borderId="0" xfId="3" applyNumberFormat="1" applyAlignment="1" applyProtection="1">
      <alignment vertical="center"/>
      <protection locked="0"/>
    </xf>
    <xf numFmtId="43" fontId="26" fillId="0" borderId="0" xfId="3" applyNumberFormat="1" applyAlignment="1" applyProtection="1">
      <alignment vertical="center"/>
      <protection locked="0"/>
    </xf>
    <xf numFmtId="43" fontId="16" fillId="2" borderId="0" xfId="0" applyNumberFormat="1" applyFont="1" applyFill="1"/>
    <xf numFmtId="0" fontId="6" fillId="2"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3" fontId="6" fillId="2" borderId="0" xfId="0" applyNumberFormat="1" applyFont="1" applyFill="1" applyAlignment="1">
      <alignment wrapText="1"/>
    </xf>
    <xf numFmtId="43" fontId="13" fillId="5" borderId="1" xfId="0" applyNumberFormat="1" applyFont="1" applyFill="1" applyBorder="1" applyAlignment="1">
      <alignment vertical="center" wrapText="1"/>
    </xf>
    <xf numFmtId="0" fontId="13" fillId="0" borderId="1" xfId="0" applyFont="1" applyFill="1" applyBorder="1" applyAlignment="1">
      <alignment horizontal="center" vertical="center" wrapText="1"/>
    </xf>
    <xf numFmtId="0" fontId="30" fillId="0" borderId="0" xfId="16" applyFont="1" applyBorder="1"/>
    <xf numFmtId="0" fontId="32" fillId="17" borderId="11" xfId="16" applyFont="1" applyFill="1" applyBorder="1" applyAlignment="1">
      <alignment horizontal="left" vertical="center" wrapText="1"/>
    </xf>
    <xf numFmtId="0" fontId="32" fillId="17" borderId="12" xfId="16" applyFont="1" applyFill="1" applyBorder="1" applyAlignment="1">
      <alignment horizontal="left" vertical="center" wrapText="1"/>
    </xf>
    <xf numFmtId="0" fontId="32" fillId="17" borderId="12" xfId="16" applyFont="1" applyFill="1" applyBorder="1" applyAlignment="1">
      <alignment horizontal="center" vertical="center" wrapText="1"/>
    </xf>
    <xf numFmtId="0" fontId="32" fillId="11" borderId="12" xfId="16" applyFont="1" applyFill="1" applyBorder="1" applyAlignment="1">
      <alignment horizontal="center" vertical="center" wrapText="1"/>
    </xf>
    <xf numFmtId="0" fontId="32" fillId="17" borderId="13" xfId="16" applyFont="1" applyFill="1" applyBorder="1" applyAlignment="1">
      <alignment horizontal="center" vertical="center" wrapText="1"/>
    </xf>
    <xf numFmtId="0" fontId="32" fillId="11" borderId="13" xfId="16" applyFont="1" applyFill="1" applyBorder="1" applyAlignment="1">
      <alignment horizontal="center" vertical="center" wrapText="1"/>
    </xf>
    <xf numFmtId="0" fontId="32" fillId="18" borderId="13" xfId="16" applyFont="1" applyFill="1" applyBorder="1" applyAlignment="1">
      <alignment horizontal="center" vertical="center" wrapText="1"/>
    </xf>
    <xf numFmtId="0" fontId="32" fillId="19" borderId="13" xfId="16" applyFont="1" applyFill="1" applyBorder="1" applyAlignment="1">
      <alignment horizontal="center" vertical="center" wrapText="1"/>
    </xf>
    <xf numFmtId="0" fontId="32" fillId="2" borderId="13" xfId="16" applyFont="1" applyFill="1" applyBorder="1" applyAlignment="1">
      <alignment horizontal="center" vertical="center" wrapText="1"/>
    </xf>
    <xf numFmtId="0" fontId="33" fillId="0" borderId="14" xfId="16" applyFont="1" applyBorder="1" applyAlignment="1">
      <alignment horizontal="left" vertical="top" wrapText="1"/>
    </xf>
    <xf numFmtId="4" fontId="33" fillId="0" borderId="14" xfId="16" applyNumberFormat="1" applyFont="1" applyBorder="1" applyAlignment="1">
      <alignment horizontal="right" vertical="top" wrapText="1"/>
    </xf>
    <xf numFmtId="4" fontId="30" fillId="0" borderId="0" xfId="16" applyNumberFormat="1" applyFont="1" applyFill="1" applyBorder="1"/>
    <xf numFmtId="4" fontId="30" fillId="0" borderId="0" xfId="16" applyNumberFormat="1" applyFont="1" applyBorder="1"/>
    <xf numFmtId="4" fontId="30" fillId="2" borderId="0" xfId="16" applyNumberFormat="1" applyFont="1" applyFill="1" applyBorder="1"/>
    <xf numFmtId="4" fontId="34" fillId="0" borderId="0" xfId="16" applyNumberFormat="1" applyFont="1" applyBorder="1"/>
    <xf numFmtId="4" fontId="35" fillId="0" borderId="0" xfId="16" applyNumberFormat="1" applyFont="1" applyBorder="1"/>
    <xf numFmtId="0" fontId="33" fillId="0" borderId="15" xfId="16" applyFont="1" applyBorder="1" applyAlignment="1">
      <alignment horizontal="left" vertical="top" wrapText="1"/>
    </xf>
    <xf numFmtId="4" fontId="33" fillId="0" borderId="15" xfId="16" applyNumberFormat="1" applyFont="1" applyBorder="1" applyAlignment="1">
      <alignment horizontal="right" vertical="top" wrapText="1"/>
    </xf>
    <xf numFmtId="4" fontId="35" fillId="2" borderId="0" xfId="16" applyNumberFormat="1" applyFont="1" applyFill="1" applyBorder="1"/>
    <xf numFmtId="0" fontId="33" fillId="2" borderId="15" xfId="16" applyFont="1" applyFill="1" applyBorder="1" applyAlignment="1">
      <alignment horizontal="left" vertical="top" wrapText="1"/>
    </xf>
    <xf numFmtId="49" fontId="33" fillId="0" borderId="15" xfId="16" applyNumberFormat="1" applyFont="1" applyBorder="1" applyAlignment="1">
      <alignment horizontal="left" vertical="top" wrapText="1"/>
    </xf>
    <xf numFmtId="0" fontId="33" fillId="20" borderId="15" xfId="16" applyFont="1" applyFill="1" applyBorder="1" applyAlignment="1">
      <alignment horizontal="left" vertical="top" wrapText="1"/>
    </xf>
    <xf numFmtId="0" fontId="33" fillId="0" borderId="15" xfId="16" applyFont="1" applyFill="1" applyBorder="1" applyAlignment="1">
      <alignment horizontal="left" vertical="top" wrapText="1"/>
    </xf>
    <xf numFmtId="0" fontId="36" fillId="0" borderId="15" xfId="16" applyFont="1" applyBorder="1" applyAlignment="1">
      <alignment horizontal="left" vertical="top" wrapText="1"/>
    </xf>
    <xf numFmtId="0" fontId="33" fillId="11" borderId="15" xfId="16" applyFont="1" applyFill="1" applyBorder="1" applyAlignment="1">
      <alignment horizontal="left" vertical="top" wrapText="1"/>
    </xf>
    <xf numFmtId="4" fontId="30" fillId="11" borderId="0" xfId="16" applyNumberFormat="1" applyFont="1" applyFill="1" applyBorder="1"/>
    <xf numFmtId="4" fontId="35" fillId="11" borderId="0" xfId="16" applyNumberFormat="1" applyFont="1" applyFill="1" applyBorder="1"/>
    <xf numFmtId="4" fontId="33" fillId="0" borderId="15" xfId="16" applyNumberFormat="1" applyFont="1" applyFill="1" applyBorder="1" applyAlignment="1">
      <alignment horizontal="right" vertical="top" wrapText="1"/>
    </xf>
    <xf numFmtId="4" fontId="30" fillId="18" borderId="0" xfId="16" applyNumberFormat="1" applyFont="1" applyFill="1" applyBorder="1"/>
    <xf numFmtId="4" fontId="34" fillId="2" borderId="0" xfId="16" applyNumberFormat="1" applyFont="1" applyFill="1" applyBorder="1"/>
    <xf numFmtId="4" fontId="34" fillId="0" borderId="0" xfId="16" applyNumberFormat="1" applyFont="1" applyFill="1" applyBorder="1"/>
    <xf numFmtId="4" fontId="35" fillId="0" borderId="0" xfId="16" applyNumberFormat="1" applyFont="1" applyFill="1" applyBorder="1"/>
    <xf numFmtId="0" fontId="30" fillId="0" borderId="0" xfId="16" applyFont="1" applyFill="1" applyBorder="1"/>
    <xf numFmtId="4" fontId="30" fillId="21" borderId="0" xfId="16" applyNumberFormat="1" applyFont="1" applyFill="1" applyBorder="1"/>
    <xf numFmtId="0" fontId="33" fillId="0" borderId="0" xfId="16" applyFont="1" applyFill="1" applyBorder="1" applyAlignment="1">
      <alignment horizontal="left" vertical="top" wrapText="1"/>
    </xf>
    <xf numFmtId="0" fontId="33" fillId="20" borderId="0" xfId="16" applyFont="1" applyFill="1" applyBorder="1" applyAlignment="1">
      <alignment horizontal="left" vertical="top" wrapText="1"/>
    </xf>
    <xf numFmtId="4" fontId="33" fillId="0" borderId="0" xfId="16" applyNumberFormat="1" applyFont="1" applyFill="1" applyBorder="1" applyAlignment="1">
      <alignment horizontal="right" vertical="top" wrapText="1"/>
    </xf>
    <xf numFmtId="0" fontId="30" fillId="0" borderId="0" xfId="16" applyFont="1" applyBorder="1" applyAlignment="1">
      <alignment wrapText="1"/>
    </xf>
    <xf numFmtId="4" fontId="30" fillId="0" borderId="0" xfId="16" applyNumberFormat="1" applyFont="1" applyFill="1" applyBorder="1" applyAlignment="1">
      <alignment wrapText="1"/>
    </xf>
    <xf numFmtId="4" fontId="35" fillId="0" borderId="0" xfId="16" applyNumberFormat="1" applyFont="1" applyBorder="1" applyAlignment="1">
      <alignment horizontal="right" wrapText="1"/>
    </xf>
    <xf numFmtId="4" fontId="37" fillId="0" borderId="0" xfId="16" applyNumberFormat="1" applyFont="1" applyBorder="1"/>
    <xf numFmtId="0" fontId="33" fillId="22" borderId="0" xfId="16" applyFont="1" applyFill="1" applyBorder="1" applyAlignment="1">
      <alignment horizontal="left" vertical="top" wrapText="1"/>
    </xf>
    <xf numFmtId="4" fontId="30" fillId="22" borderId="0" xfId="16" applyNumberFormat="1" applyFont="1" applyFill="1" applyBorder="1"/>
    <xf numFmtId="0" fontId="30" fillId="23" borderId="0" xfId="16" applyFont="1" applyFill="1" applyBorder="1"/>
    <xf numFmtId="4" fontId="30" fillId="24" borderId="0" xfId="16" applyNumberFormat="1" applyFont="1" applyFill="1" applyBorder="1"/>
    <xf numFmtId="0" fontId="38" fillId="0" borderId="0" xfId="16" applyFont="1" applyBorder="1"/>
    <xf numFmtId="0" fontId="39" fillId="0" borderId="0" xfId="16" applyFont="1" applyBorder="1"/>
    <xf numFmtId="0" fontId="38" fillId="0" borderId="0" xfId="16" applyFont="1" applyFill="1" applyBorder="1"/>
    <xf numFmtId="0" fontId="30" fillId="25" borderId="0" xfId="16" applyFont="1" applyFill="1" applyBorder="1"/>
    <xf numFmtId="4" fontId="40" fillId="0" borderId="0" xfId="16" applyNumberFormat="1" applyFont="1" applyBorder="1"/>
    <xf numFmtId="4" fontId="30" fillId="0" borderId="0" xfId="16" applyNumberFormat="1" applyFont="1" applyBorder="1" applyAlignment="1">
      <alignment horizontal="center"/>
    </xf>
    <xf numFmtId="4" fontId="38" fillId="0" borderId="0" xfId="16" applyNumberFormat="1" applyFont="1" applyBorder="1"/>
    <xf numFmtId="4" fontId="41" fillId="0" borderId="0" xfId="16" applyNumberFormat="1" applyFont="1" applyBorder="1"/>
    <xf numFmtId="0" fontId="30" fillId="11" borderId="0" xfId="16" applyFont="1" applyFill="1" applyBorder="1"/>
    <xf numFmtId="4" fontId="42" fillId="0" borderId="0" xfId="16" applyNumberFormat="1" applyFont="1" applyBorder="1"/>
    <xf numFmtId="0" fontId="30" fillId="2" borderId="0" xfId="16" applyFont="1" applyFill="1" applyBorder="1"/>
    <xf numFmtId="4" fontId="42" fillId="11" borderId="0" xfId="16" applyNumberFormat="1" applyFont="1" applyFill="1" applyBorder="1"/>
    <xf numFmtId="4" fontId="30" fillId="11" borderId="0" xfId="16" applyNumberFormat="1" applyFont="1" applyFill="1" applyBorder="1" applyAlignment="1">
      <alignment horizontal="right"/>
    </xf>
    <xf numFmtId="4" fontId="42" fillId="19" borderId="0" xfId="16" applyNumberFormat="1" applyFont="1" applyFill="1" applyBorder="1"/>
    <xf numFmtId="4" fontId="30" fillId="0" borderId="0" xfId="16" applyNumberFormat="1" applyFont="1" applyBorder="1" applyAlignment="1">
      <alignment horizontal="right"/>
    </xf>
    <xf numFmtId="4" fontId="30" fillId="0" borderId="0" xfId="16" applyNumberFormat="1" applyFont="1" applyBorder="1" applyAlignment="1">
      <alignment wrapText="1"/>
    </xf>
    <xf numFmtId="4" fontId="43" fillId="0" borderId="0" xfId="16" applyNumberFormat="1" applyFont="1" applyBorder="1"/>
    <xf numFmtId="4" fontId="44" fillId="0" borderId="0" xfId="16" applyNumberFormat="1" applyFont="1" applyBorder="1"/>
    <xf numFmtId="4" fontId="45" fillId="0" borderId="0" xfId="16" applyNumberFormat="1" applyFont="1" applyBorder="1"/>
    <xf numFmtId="0" fontId="30" fillId="0" borderId="0" xfId="16" applyFont="1" applyFill="1" applyBorder="1" applyAlignment="1">
      <alignment horizontal="left"/>
    </xf>
    <xf numFmtId="0" fontId="42" fillId="0" borderId="0" xfId="16" applyFont="1" applyBorder="1"/>
    <xf numFmtId="43" fontId="14" fillId="5" borderId="1" xfId="0" applyNumberFormat="1" applyFont="1" applyFill="1" applyBorder="1" applyAlignment="1">
      <alignment vertical="center" wrapText="1"/>
    </xf>
    <xf numFmtId="43" fontId="13" fillId="4" borderId="1" xfId="0" applyNumberFormat="1" applyFont="1" applyFill="1" applyBorder="1" applyAlignment="1">
      <alignment vertical="center" wrapText="1"/>
    </xf>
    <xf numFmtId="43" fontId="14" fillId="3" borderId="1" xfId="0" applyNumberFormat="1" applyFont="1" applyFill="1" applyBorder="1" applyAlignment="1">
      <alignment vertical="center" wrapText="1"/>
    </xf>
    <xf numFmtId="43" fontId="13" fillId="3" borderId="1" xfId="0" applyNumberFormat="1" applyFont="1" applyFill="1" applyBorder="1" applyAlignment="1">
      <alignment vertical="center" wrapText="1"/>
    </xf>
    <xf numFmtId="43" fontId="13" fillId="6" borderId="1" xfId="0" applyNumberFormat="1" applyFont="1" applyFill="1" applyBorder="1" applyAlignment="1">
      <alignment vertical="center" wrapText="1"/>
    </xf>
    <xf numFmtId="0" fontId="24" fillId="0" borderId="0" xfId="2" applyNumberFormat="1" applyProtection="1"/>
    <xf numFmtId="0" fontId="0" fillId="0" borderId="0" xfId="3" applyFont="1" applyProtection="1">
      <protection locked="0"/>
    </xf>
    <xf numFmtId="0" fontId="27" fillId="0" borderId="0" xfId="4" applyNumberFormat="1" applyProtection="1">
      <alignment horizontal="center" wrapText="1"/>
    </xf>
    <xf numFmtId="0" fontId="27" fillId="0" borderId="0" xfId="5" applyNumberFormat="1" applyProtection="1">
      <alignment horizontal="center"/>
    </xf>
    <xf numFmtId="0" fontId="28" fillId="0" borderId="3" xfId="8" applyNumberFormat="1" applyProtection="1">
      <alignment vertical="top" wrapText="1"/>
    </xf>
    <xf numFmtId="1" fontId="24" fillId="0" borderId="3" xfId="9" applyNumberFormat="1" applyProtection="1">
      <alignment horizontal="center" vertical="top" shrinkToFit="1"/>
    </xf>
    <xf numFmtId="4" fontId="28" fillId="16" borderId="3" xfId="10" applyNumberFormat="1" applyProtection="1">
      <alignment horizontal="right" vertical="top" shrinkToFit="1"/>
    </xf>
    <xf numFmtId="10" fontId="28" fillId="16" borderId="3" xfId="11" applyNumberFormat="1" applyProtection="1">
      <alignment horizontal="right" vertical="top" shrinkToFit="1"/>
    </xf>
    <xf numFmtId="4" fontId="28" fillId="14" borderId="3" xfId="13" applyNumberFormat="1" applyProtection="1">
      <alignment horizontal="right" vertical="top" shrinkToFit="1"/>
    </xf>
    <xf numFmtId="10" fontId="28" fillId="14" borderId="3" xfId="14" applyNumberFormat="1" applyProtection="1">
      <alignment horizontal="right" vertical="top" shrinkToFit="1"/>
    </xf>
    <xf numFmtId="0" fontId="24" fillId="0" borderId="0" xfId="15" applyNumberFormat="1" applyProtection="1">
      <alignment horizontal="left" wrapText="1"/>
    </xf>
    <xf numFmtId="0" fontId="14" fillId="0" borderId="1" xfId="0" applyFont="1" applyFill="1" applyBorder="1" applyAlignment="1">
      <alignment horizontal="center" vertical="center" wrapText="1"/>
    </xf>
    <xf numFmtId="43" fontId="14" fillId="0" borderId="1" xfId="0" applyNumberFormat="1" applyFont="1" applyFill="1" applyBorder="1" applyAlignment="1">
      <alignment vertical="center" wrapText="1"/>
    </xf>
    <xf numFmtId="43" fontId="13" fillId="9" borderId="1" xfId="0" applyNumberFormat="1" applyFont="1" applyFill="1" applyBorder="1" applyAlignment="1">
      <alignment vertical="center" wrapText="1"/>
    </xf>
    <xf numFmtId="43" fontId="14" fillId="12" borderId="1" xfId="0" applyNumberFormat="1" applyFont="1" applyFill="1" applyBorder="1" applyAlignment="1">
      <alignment vertical="center" wrapText="1"/>
    </xf>
    <xf numFmtId="43" fontId="13" fillId="12" borderId="1" xfId="0" applyNumberFormat="1" applyFont="1" applyFill="1" applyBorder="1" applyAlignment="1">
      <alignment vertical="center" wrapText="1"/>
    </xf>
    <xf numFmtId="43" fontId="15" fillId="2" borderId="0" xfId="0" applyNumberFormat="1" applyFont="1" applyFill="1"/>
    <xf numFmtId="0" fontId="46" fillId="2" borderId="0" xfId="0" applyNumberFormat="1" applyFont="1" applyFill="1" applyAlignment="1">
      <alignment horizontal="center" wrapText="1"/>
    </xf>
    <xf numFmtId="43" fontId="14" fillId="2" borderId="0" xfId="0" applyNumberFormat="1" applyFont="1" applyFill="1" applyAlignment="1">
      <alignment horizontal="center" wrapText="1"/>
    </xf>
    <xf numFmtId="43" fontId="14" fillId="0" borderId="0" xfId="0" applyNumberFormat="1" applyFont="1" applyFill="1" applyAlignment="1">
      <alignment horizontal="center" wrapText="1"/>
    </xf>
    <xf numFmtId="43" fontId="13" fillId="2" borderId="1" xfId="0" applyNumberFormat="1" applyFont="1" applyFill="1" applyBorder="1" applyAlignment="1">
      <alignment horizontal="center" vertical="center" wrapText="1"/>
    </xf>
    <xf numFmtId="43" fontId="14" fillId="7" borderId="1" xfId="0" applyNumberFormat="1" applyFont="1" applyFill="1" applyBorder="1" applyAlignment="1">
      <alignment vertical="center" wrapText="1"/>
    </xf>
    <xf numFmtId="43" fontId="13" fillId="7" borderId="1" xfId="0" applyNumberFormat="1" applyFont="1" applyFill="1" applyBorder="1" applyAlignment="1">
      <alignment vertical="center" wrapText="1"/>
    </xf>
    <xf numFmtId="43" fontId="47" fillId="2" borderId="0" xfId="0" applyNumberFormat="1" applyFont="1" applyFill="1" applyAlignment="1">
      <alignment wrapText="1"/>
    </xf>
    <xf numFmtId="43" fontId="29" fillId="2" borderId="0" xfId="0" applyNumberFormat="1" applyFont="1" applyFill="1" applyAlignment="1">
      <alignment wrapText="1"/>
    </xf>
    <xf numFmtId="43" fontId="1" fillId="2" borderId="0" xfId="0" applyNumberFormat="1" applyFont="1" applyFill="1"/>
    <xf numFmtId="0" fontId="5" fillId="10" borderId="1" xfId="0" applyFont="1" applyFill="1" applyBorder="1" applyAlignment="1">
      <alignment horizontal="left" vertical="center" wrapText="1"/>
    </xf>
    <xf numFmtId="0" fontId="5" fillId="10" borderId="1" xfId="0" applyFont="1" applyFill="1" applyBorder="1" applyAlignment="1">
      <alignment horizontal="center" vertical="center" wrapText="1"/>
    </xf>
    <xf numFmtId="0" fontId="5" fillId="9" borderId="1" xfId="0" applyFont="1" applyFill="1" applyBorder="1" applyAlignment="1">
      <alignment horizontal="left" vertical="center" wrapText="1"/>
    </xf>
    <xf numFmtId="0" fontId="5" fillId="9"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50" fillId="2" borderId="0" xfId="0" applyNumberFormat="1" applyFont="1" applyFill="1" applyAlignment="1">
      <alignment horizontal="center"/>
    </xf>
    <xf numFmtId="0" fontId="50" fillId="2" borderId="0" xfId="0" applyFont="1" applyFill="1"/>
    <xf numFmtId="0" fontId="50" fillId="2" borderId="0" xfId="0" applyFont="1" applyFill="1" applyAlignment="1">
      <alignment horizontal="center"/>
    </xf>
    <xf numFmtId="0" fontId="51" fillId="2" borderId="0" xfId="0" applyFont="1" applyFill="1"/>
    <xf numFmtId="0" fontId="2" fillId="2" borderId="0" xfId="0" applyFont="1" applyFill="1" applyAlignment="1">
      <alignment horizontal="right" vertical="center"/>
    </xf>
    <xf numFmtId="0" fontId="51" fillId="2" borderId="0" xfId="0" applyNumberFormat="1" applyFont="1" applyFill="1" applyAlignment="1">
      <alignment horizontal="center"/>
    </xf>
    <xf numFmtId="0" fontId="51" fillId="2" borderId="0" xfId="0" applyFont="1" applyFill="1" applyAlignment="1">
      <alignment horizontal="center"/>
    </xf>
    <xf numFmtId="0" fontId="29" fillId="2" borderId="1" xfId="0" applyFont="1" applyFill="1" applyBorder="1" applyAlignment="1">
      <alignment horizontal="center" vertical="center" wrapText="1"/>
    </xf>
    <xf numFmtId="0" fontId="50" fillId="0" borderId="0" xfId="0" applyNumberFormat="1" applyFont="1" applyAlignment="1">
      <alignment horizontal="left" vertical="center"/>
    </xf>
    <xf numFmtId="0" fontId="50" fillId="0" borderId="0" xfId="0" applyFont="1"/>
    <xf numFmtId="0" fontId="50" fillId="0" borderId="0" xfId="0" applyFont="1" applyAlignment="1">
      <alignment horizontal="center"/>
    </xf>
    <xf numFmtId="0" fontId="54" fillId="0" borderId="0" xfId="0" applyFont="1"/>
    <xf numFmtId="0" fontId="51" fillId="0" borderId="0" xfId="0" applyFont="1"/>
    <xf numFmtId="0" fontId="2" fillId="0" borderId="0" xfId="0" applyFont="1" applyAlignment="1">
      <alignment vertical="center"/>
    </xf>
    <xf numFmtId="0" fontId="2" fillId="0" borderId="0" xfId="0" applyNumberFormat="1" applyFont="1" applyAlignment="1"/>
    <xf numFmtId="0" fontId="2" fillId="2" borderId="0" xfId="0" applyFont="1" applyFill="1" applyAlignment="1">
      <alignment horizontal="left" vertical="center"/>
    </xf>
    <xf numFmtId="0" fontId="55" fillId="2" borderId="0" xfId="0" applyFont="1" applyFill="1"/>
    <xf numFmtId="49" fontId="56" fillId="2" borderId="1" xfId="0" applyNumberFormat="1" applyFont="1" applyFill="1" applyBorder="1" applyAlignment="1">
      <alignment horizontal="center" vertical="center" wrapText="1"/>
    </xf>
    <xf numFmtId="0" fontId="56" fillId="2" borderId="1" xfId="0" applyFont="1" applyFill="1" applyBorder="1" applyAlignment="1">
      <alignment horizontal="center" vertical="center" wrapText="1"/>
    </xf>
    <xf numFmtId="49" fontId="56" fillId="2" borderId="1" xfId="0" applyNumberFormat="1" applyFont="1" applyFill="1" applyBorder="1" applyAlignment="1">
      <alignment horizontal="left" vertical="center" wrapText="1"/>
    </xf>
    <xf numFmtId="49" fontId="56" fillId="2" borderId="1" xfId="19" applyNumberFormat="1" applyFont="1" applyFill="1" applyBorder="1" applyAlignment="1" applyProtection="1">
      <alignment horizontal="left" vertical="center" wrapText="1"/>
      <protection hidden="1"/>
    </xf>
    <xf numFmtId="0" fontId="51" fillId="2" borderId="0" xfId="0" applyFont="1" applyFill="1" applyAlignment="1">
      <alignment horizontal="left" vertical="center"/>
    </xf>
    <xf numFmtId="0" fontId="2" fillId="0" borderId="0" xfId="0" applyFont="1" applyAlignment="1">
      <alignment horizontal="left" vertical="center"/>
    </xf>
    <xf numFmtId="0" fontId="55" fillId="0" borderId="0" xfId="0" applyFont="1"/>
    <xf numFmtId="0" fontId="47" fillId="0" borderId="1" xfId="0" applyFont="1" applyFill="1" applyBorder="1" applyAlignment="1">
      <alignment horizontal="center" vertical="center" wrapText="1"/>
    </xf>
    <xf numFmtId="3" fontId="47" fillId="0" borderId="1" xfId="0" applyNumberFormat="1" applyFont="1" applyFill="1" applyBorder="1" applyAlignment="1">
      <alignment horizontal="center" vertical="center" wrapText="1"/>
    </xf>
    <xf numFmtId="49" fontId="47"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61" fillId="0" borderId="1" xfId="0" applyFont="1" applyFill="1" applyBorder="1" applyAlignment="1">
      <alignment horizontal="center" vertical="center" wrapText="1"/>
    </xf>
    <xf numFmtId="164" fontId="47" fillId="0" borderId="1" xfId="20" applyFont="1" applyFill="1" applyBorder="1" applyAlignment="1">
      <alignment horizontal="center" vertical="center" wrapText="1"/>
    </xf>
    <xf numFmtId="2" fontId="47" fillId="0" borderId="1" xfId="0" applyNumberFormat="1" applyFont="1" applyFill="1" applyBorder="1" applyAlignment="1">
      <alignment horizontal="center" vertical="center" wrapText="1"/>
    </xf>
    <xf numFmtId="164" fontId="47" fillId="0" borderId="1" xfId="20" applyFont="1" applyFill="1" applyBorder="1" applyAlignment="1">
      <alignment horizontal="center" vertical="center"/>
    </xf>
    <xf numFmtId="2" fontId="58" fillId="0" borderId="1" xfId="0" applyNumberFormat="1" applyFont="1" applyFill="1" applyBorder="1" applyAlignment="1">
      <alignment horizontal="center" vertical="center"/>
    </xf>
    <xf numFmtId="0" fontId="47" fillId="0" borderId="1" xfId="0" applyFont="1" applyFill="1" applyBorder="1" applyAlignment="1">
      <alignment horizontal="center" vertical="center"/>
    </xf>
    <xf numFmtId="0" fontId="58" fillId="0" borderId="1" xfId="0" applyFont="1" applyFill="1" applyBorder="1" applyAlignment="1">
      <alignment horizontal="center" vertical="center"/>
    </xf>
    <xf numFmtId="0" fontId="58" fillId="0" borderId="18" xfId="0" applyFont="1" applyFill="1" applyBorder="1" applyAlignment="1">
      <alignment horizontal="center" vertical="center"/>
    </xf>
    <xf numFmtId="165" fontId="47" fillId="0" borderId="1" xfId="0" applyNumberFormat="1" applyFont="1" applyFill="1" applyBorder="1" applyAlignment="1">
      <alignment horizontal="center" vertical="center" wrapText="1"/>
    </xf>
    <xf numFmtId="16" fontId="58" fillId="0" borderId="1" xfId="0" applyNumberFormat="1" applyFont="1" applyFill="1" applyBorder="1" applyAlignment="1">
      <alignment horizontal="center" vertical="center"/>
    </xf>
    <xf numFmtId="166" fontId="47" fillId="0" borderId="1" xfId="0" applyNumberFormat="1" applyFont="1" applyFill="1" applyBorder="1" applyAlignment="1">
      <alignment horizontal="center" vertical="center"/>
    </xf>
    <xf numFmtId="0" fontId="29" fillId="2" borderId="19"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58" fillId="0" borderId="1" xfId="0" applyFont="1" applyFill="1" applyBorder="1" applyAlignment="1">
      <alignment horizontal="left" vertical="center" wrapText="1"/>
    </xf>
    <xf numFmtId="0" fontId="60"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47" fillId="2" borderId="1" xfId="0" applyFont="1" applyFill="1" applyBorder="1" applyAlignment="1">
      <alignment vertical="center" wrapText="1"/>
    </xf>
    <xf numFmtId="0" fontId="47" fillId="2" borderId="1" xfId="0" applyFont="1" applyFill="1" applyBorder="1" applyAlignment="1">
      <alignment horizontal="center" vertical="center" wrapText="1"/>
    </xf>
    <xf numFmtId="0" fontId="47" fillId="0" borderId="1" xfId="0" applyFont="1" applyFill="1" applyBorder="1" applyAlignment="1">
      <alignment horizontal="left" vertical="center" wrapText="1"/>
    </xf>
    <xf numFmtId="0" fontId="47" fillId="2" borderId="1" xfId="0" applyNumberFormat="1" applyFont="1" applyFill="1" applyBorder="1" applyAlignment="1">
      <alignment horizontal="center" vertical="center" wrapText="1"/>
    </xf>
    <xf numFmtId="16" fontId="47" fillId="2" borderId="1" xfId="0" applyNumberFormat="1" applyFont="1" applyFill="1" applyBorder="1" applyAlignment="1">
      <alignment horizontal="center" vertical="center" wrapText="1"/>
    </xf>
    <xf numFmtId="0" fontId="0" fillId="26" borderId="0" xfId="0" applyFill="1"/>
    <xf numFmtId="3" fontId="47" fillId="0" borderId="21" xfId="0" applyNumberFormat="1" applyFont="1" applyFill="1" applyBorder="1" applyAlignment="1">
      <alignment horizontal="left" vertical="center" wrapText="1"/>
    </xf>
    <xf numFmtId="4" fontId="47" fillId="0" borderId="1" xfId="20" applyNumberFormat="1" applyFont="1" applyFill="1" applyBorder="1" applyAlignment="1">
      <alignment horizontal="center" vertical="center" wrapText="1"/>
    </xf>
    <xf numFmtId="4" fontId="47" fillId="0" borderId="1" xfId="0" applyNumberFormat="1"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4" fontId="47" fillId="0" borderId="1" xfId="20" applyNumberFormat="1" applyFont="1" applyFill="1" applyBorder="1" applyAlignment="1">
      <alignment horizontal="center" vertical="center"/>
    </xf>
    <xf numFmtId="0" fontId="23" fillId="0" borderId="1" xfId="0" applyFont="1" applyFill="1" applyBorder="1" applyAlignment="1">
      <alignment horizontal="left" wrapText="1"/>
    </xf>
    <xf numFmtId="0" fontId="47" fillId="2" borderId="1" xfId="19" applyFont="1" applyFill="1" applyBorder="1" applyAlignment="1" applyProtection="1">
      <alignment horizontal="left" vertical="center" wrapText="1"/>
      <protection hidden="1"/>
    </xf>
    <xf numFmtId="2" fontId="47" fillId="2" borderId="1" xfId="0" applyNumberFormat="1" applyFont="1" applyFill="1" applyBorder="1" applyAlignment="1">
      <alignment horizontal="center" vertical="center" wrapText="1"/>
    </xf>
    <xf numFmtId="0" fontId="47" fillId="2" borderId="1" xfId="0" applyFont="1" applyFill="1" applyBorder="1" applyAlignment="1">
      <alignment horizontal="left" vertical="center" wrapText="1"/>
    </xf>
    <xf numFmtId="0" fontId="59" fillId="19" borderId="1" xfId="0" applyFont="1" applyFill="1" applyBorder="1" applyAlignment="1">
      <alignment vertical="center" wrapText="1"/>
    </xf>
    <xf numFmtId="0" fontId="1" fillId="19" borderId="0" xfId="0" applyFont="1" applyFill="1"/>
    <xf numFmtId="0" fontId="29" fillId="2" borderId="16" xfId="0" applyFont="1" applyFill="1" applyBorder="1" applyAlignment="1">
      <alignment horizontal="center" vertical="center" wrapText="1"/>
    </xf>
    <xf numFmtId="0" fontId="29" fillId="2" borderId="20" xfId="18" applyFont="1" applyFill="1" applyBorder="1" applyAlignment="1">
      <alignment horizontal="center" vertical="center" wrapText="1"/>
    </xf>
    <xf numFmtId="0" fontId="29" fillId="2" borderId="21" xfId="18" applyFont="1" applyFill="1" applyBorder="1" applyAlignment="1">
      <alignment horizontal="center" vertical="center" wrapText="1"/>
    </xf>
    <xf numFmtId="0" fontId="29" fillId="2" borderId="16" xfId="18" applyFont="1" applyFill="1" applyBorder="1" applyAlignment="1">
      <alignment horizontal="center" vertical="center" wrapText="1"/>
    </xf>
    <xf numFmtId="0" fontId="64" fillId="19" borderId="1" xfId="0" applyFont="1" applyFill="1" applyBorder="1" applyAlignment="1">
      <alignment vertical="center" wrapText="1"/>
    </xf>
    <xf numFmtId="0" fontId="65" fillId="19" borderId="0" xfId="0" applyFont="1" applyFill="1"/>
    <xf numFmtId="9" fontId="47" fillId="2" borderId="1" xfId="17" applyFont="1" applyFill="1" applyBorder="1" applyAlignment="1">
      <alignment horizontal="center" vertical="center" wrapText="1"/>
    </xf>
    <xf numFmtId="9" fontId="46" fillId="26" borderId="16" xfId="17" applyFont="1" applyFill="1" applyBorder="1" applyAlignment="1">
      <alignment vertical="center" wrapText="1"/>
    </xf>
    <xf numFmtId="9" fontId="46" fillId="26" borderId="18" xfId="17" applyFont="1" applyFill="1" applyBorder="1" applyAlignment="1">
      <alignment vertical="center" wrapText="1"/>
    </xf>
    <xf numFmtId="9" fontId="59" fillId="19" borderId="16" xfId="17" applyFont="1" applyFill="1" applyBorder="1" applyAlignment="1">
      <alignment vertical="center" wrapText="1"/>
    </xf>
    <xf numFmtId="9" fontId="59" fillId="19" borderId="18" xfId="17" applyFont="1" applyFill="1" applyBorder="1" applyAlignment="1">
      <alignment vertical="center" wrapText="1"/>
    </xf>
    <xf numFmtId="9" fontId="47" fillId="2" borderId="1" xfId="0" applyNumberFormat="1" applyFont="1" applyFill="1" applyBorder="1" applyAlignment="1">
      <alignment horizontal="center" vertical="center" wrapText="1"/>
    </xf>
    <xf numFmtId="0" fontId="51" fillId="0" borderId="0" xfId="0" applyFont="1" applyAlignment="1">
      <alignment horizontal="center"/>
    </xf>
    <xf numFmtId="0" fontId="0" fillId="0" borderId="0" xfId="0" applyAlignment="1">
      <alignment horizontal="center"/>
    </xf>
    <xf numFmtId="0" fontId="4" fillId="2" borderId="0" xfId="0" applyNumberFormat="1" applyFont="1" applyFill="1" applyAlignment="1">
      <alignment horizontal="center" wrapText="1"/>
    </xf>
    <xf numFmtId="0" fontId="13" fillId="8"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6" fillId="2" borderId="0" xfId="0" applyNumberFormat="1" applyFont="1" applyFill="1" applyAlignment="1">
      <alignment horizontal="left" vertical="top" wrapText="1"/>
    </xf>
    <xf numFmtId="0" fontId="6" fillId="0" borderId="0" xfId="0" applyNumberFormat="1" applyFont="1" applyFill="1" applyAlignment="1">
      <alignment horizontal="left" vertical="top" wrapText="1"/>
    </xf>
    <xf numFmtId="0" fontId="13" fillId="2" borderId="1" xfId="0" applyFont="1" applyFill="1" applyBorder="1" applyAlignment="1">
      <alignment horizontal="center" vertical="center" wrapText="1"/>
    </xf>
    <xf numFmtId="0" fontId="13" fillId="2" borderId="0" xfId="0" applyNumberFormat="1" applyFont="1" applyFill="1" applyAlignment="1">
      <alignment horizontal="left" vertical="top" wrapText="1"/>
    </xf>
    <xf numFmtId="0" fontId="13" fillId="13" borderId="1" xfId="0" applyNumberFormat="1" applyFont="1" applyFill="1" applyBorder="1" applyAlignment="1">
      <alignment horizontal="center" vertical="center" wrapText="1"/>
    </xf>
    <xf numFmtId="0" fontId="13" fillId="13" borderId="1" xfId="0" applyNumberFormat="1" applyFont="1" applyFill="1" applyBorder="1" applyAlignment="1">
      <alignment horizontal="left" vertical="center" wrapText="1"/>
    </xf>
    <xf numFmtId="0" fontId="15" fillId="13" borderId="1" xfId="0" applyFont="1" applyFill="1" applyBorder="1" applyAlignment="1">
      <alignment horizontal="center"/>
    </xf>
    <xf numFmtId="0" fontId="13" fillId="13" borderId="1" xfId="0"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15" fillId="2" borderId="1" xfId="0" applyFont="1" applyFill="1" applyBorder="1" applyAlignment="1">
      <alignment horizontal="center"/>
    </xf>
    <xf numFmtId="0" fontId="8" fillId="13" borderId="1" xfId="0" applyNumberFormat="1" applyFont="1" applyFill="1" applyBorder="1" applyAlignment="1">
      <alignment horizontal="center" vertical="center" wrapText="1"/>
    </xf>
    <xf numFmtId="0" fontId="8" fillId="13" borderId="1" xfId="0" applyNumberFormat="1" applyFont="1" applyFill="1" applyBorder="1" applyAlignment="1">
      <alignment horizontal="left" vertical="center" wrapText="1"/>
    </xf>
    <xf numFmtId="0" fontId="9" fillId="13" borderId="1" xfId="0" applyFont="1" applyFill="1" applyBorder="1" applyAlignment="1">
      <alignment horizontal="center"/>
    </xf>
    <xf numFmtId="0" fontId="8" fillId="13" borderId="1"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left"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13" borderId="1" xfId="0" applyNumberFormat="1" applyFont="1" applyFill="1" applyBorder="1" applyAlignment="1">
      <alignment horizontal="center" vertical="center" wrapText="1"/>
    </xf>
    <xf numFmtId="0" fontId="6" fillId="13" borderId="1" xfId="0" applyNumberFormat="1" applyFont="1" applyFill="1" applyBorder="1" applyAlignment="1">
      <alignment horizontal="left" vertical="center" wrapText="1"/>
    </xf>
    <xf numFmtId="0" fontId="0" fillId="13" borderId="1" xfId="0" applyFill="1" applyBorder="1" applyAlignment="1">
      <alignment horizontal="center"/>
    </xf>
    <xf numFmtId="0" fontId="6" fillId="13" borderId="1" xfId="0" applyFont="1" applyFill="1" applyBorder="1" applyAlignment="1">
      <alignment horizontal="center" vertical="center" wrapText="1"/>
    </xf>
    <xf numFmtId="0" fontId="0" fillId="2" borderId="1" xfId="0" applyFill="1" applyBorder="1" applyAlignment="1">
      <alignment horizontal="center"/>
    </xf>
    <xf numFmtId="0" fontId="6" fillId="12" borderId="1" xfId="0" applyNumberFormat="1" applyFont="1" applyFill="1" applyBorder="1" applyAlignment="1">
      <alignment horizontal="center" vertical="center" wrapText="1"/>
    </xf>
    <xf numFmtId="0" fontId="6" fillId="12" borderId="1" xfId="0" applyFont="1" applyFill="1" applyBorder="1" applyAlignment="1">
      <alignment horizontal="left" vertical="center" wrapText="1"/>
    </xf>
    <xf numFmtId="0" fontId="0" fillId="12" borderId="1" xfId="0" applyFill="1" applyBorder="1" applyAlignment="1">
      <alignment horizontal="center"/>
    </xf>
    <xf numFmtId="0" fontId="6" fillId="12" borderId="1" xfId="0" applyFont="1" applyFill="1" applyBorder="1" applyAlignment="1">
      <alignment horizontal="center" vertical="center" wrapText="1"/>
    </xf>
    <xf numFmtId="0" fontId="13" fillId="10" borderId="1" xfId="0" applyNumberFormat="1" applyFont="1" applyFill="1" applyBorder="1" applyAlignment="1">
      <alignment horizontal="center" vertical="center" wrapText="1"/>
    </xf>
    <xf numFmtId="0" fontId="13" fillId="10" borderId="1" xfId="0" applyNumberFormat="1" applyFont="1" applyFill="1" applyBorder="1" applyAlignment="1">
      <alignment horizontal="left" vertical="center" wrapText="1"/>
    </xf>
    <xf numFmtId="0" fontId="15" fillId="10" borderId="1" xfId="0" applyFont="1" applyFill="1" applyBorder="1" applyAlignment="1">
      <alignment horizontal="center"/>
    </xf>
    <xf numFmtId="0" fontId="13" fillId="10" borderId="1" xfId="0" applyFont="1" applyFill="1" applyBorder="1" applyAlignment="1">
      <alignment horizontal="center" vertical="center" wrapText="1"/>
    </xf>
    <xf numFmtId="0" fontId="6" fillId="10" borderId="1" xfId="0" applyNumberFormat="1" applyFont="1" applyFill="1" applyBorder="1" applyAlignment="1">
      <alignment horizontal="center" vertical="center" wrapText="1"/>
    </xf>
    <xf numFmtId="0" fontId="6" fillId="10" borderId="1" xfId="0" applyNumberFormat="1" applyFont="1" applyFill="1" applyBorder="1" applyAlignment="1">
      <alignment horizontal="left" vertical="center" wrapText="1"/>
    </xf>
    <xf numFmtId="0" fontId="0" fillId="10" borderId="1" xfId="0" applyFill="1" applyBorder="1" applyAlignment="1">
      <alignment horizontal="center"/>
    </xf>
    <xf numFmtId="0" fontId="6" fillId="10" borderId="1" xfId="0"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6" fillId="9" borderId="1" xfId="0" applyNumberFormat="1" applyFont="1" applyFill="1" applyBorder="1" applyAlignment="1">
      <alignment horizontal="center" vertical="center" wrapText="1"/>
    </xf>
    <xf numFmtId="0" fontId="6" fillId="9" borderId="1" xfId="0" applyFont="1" applyFill="1" applyBorder="1" applyAlignment="1">
      <alignment horizontal="left" vertical="center" wrapText="1"/>
    </xf>
    <xf numFmtId="0" fontId="0" fillId="9" borderId="1" xfId="0" applyFill="1" applyBorder="1" applyAlignment="1">
      <alignment horizontal="center"/>
    </xf>
    <xf numFmtId="0" fontId="6" fillId="9" borderId="1" xfId="0" applyFont="1" applyFill="1" applyBorder="1" applyAlignment="1">
      <alignment horizontal="center" vertical="center" wrapText="1"/>
    </xf>
    <xf numFmtId="0" fontId="13" fillId="8" borderId="1" xfId="0" applyNumberFormat="1" applyFont="1" applyFill="1" applyBorder="1" applyAlignment="1">
      <alignment horizontal="center" vertical="center" wrapText="1"/>
    </xf>
    <xf numFmtId="0" fontId="13" fillId="8" borderId="1" xfId="0" applyNumberFormat="1" applyFont="1" applyFill="1" applyBorder="1" applyAlignment="1">
      <alignment horizontal="left" vertical="center" wrapText="1"/>
    </xf>
    <xf numFmtId="0" fontId="15" fillId="8" borderId="1" xfId="0" applyFont="1" applyFill="1" applyBorder="1" applyAlignment="1">
      <alignment horizontal="center"/>
    </xf>
    <xf numFmtId="0" fontId="13" fillId="8"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8" fillId="8" borderId="1" xfId="0" applyNumberFormat="1" applyFont="1" applyFill="1" applyBorder="1" applyAlignment="1">
      <alignment horizontal="center" vertical="center" wrapText="1"/>
    </xf>
    <xf numFmtId="0" fontId="8" fillId="8" borderId="1" xfId="0" applyNumberFormat="1" applyFont="1" applyFill="1" applyBorder="1" applyAlignment="1">
      <alignment horizontal="left" vertical="center" wrapText="1"/>
    </xf>
    <xf numFmtId="0" fontId="9" fillId="8" borderId="1" xfId="0" applyFont="1" applyFill="1" applyBorder="1" applyAlignment="1">
      <alignment horizontal="center"/>
    </xf>
    <xf numFmtId="0" fontId="8" fillId="8" borderId="1" xfId="0" applyFont="1" applyFill="1" applyBorder="1" applyAlignment="1">
      <alignment horizontal="center" vertical="center" wrapText="1"/>
    </xf>
    <xf numFmtId="0" fontId="6" fillId="8" borderId="1" xfId="0" applyNumberFormat="1" applyFont="1" applyFill="1" applyBorder="1" applyAlignment="1">
      <alignment horizontal="center" vertical="center" wrapText="1"/>
    </xf>
    <xf numFmtId="0" fontId="6" fillId="8" borderId="1" xfId="0" applyNumberFormat="1" applyFont="1" applyFill="1" applyBorder="1" applyAlignment="1">
      <alignment horizontal="left" vertical="center" wrapText="1"/>
    </xf>
    <xf numFmtId="0" fontId="0" fillId="8" borderId="1" xfId="0" applyFill="1" applyBorder="1" applyAlignment="1">
      <alignment horizontal="center"/>
    </xf>
    <xf numFmtId="0" fontId="6" fillId="8" borderId="1" xfId="0" applyFont="1" applyFill="1" applyBorder="1" applyAlignment="1">
      <alignment horizontal="center" vertical="center" wrapText="1"/>
    </xf>
    <xf numFmtId="0" fontId="6" fillId="7" borderId="1" xfId="0" applyNumberFormat="1" applyFont="1" applyFill="1" applyBorder="1" applyAlignment="1">
      <alignment horizontal="center" vertical="center" wrapText="1"/>
    </xf>
    <xf numFmtId="0" fontId="6" fillId="7" borderId="1" xfId="0" applyFont="1" applyFill="1" applyBorder="1" applyAlignment="1">
      <alignment horizontal="left" vertical="center" wrapText="1"/>
    </xf>
    <xf numFmtId="0" fontId="0" fillId="7" borderId="1" xfId="0" applyFill="1" applyBorder="1" applyAlignment="1">
      <alignment horizontal="center"/>
    </xf>
    <xf numFmtId="0" fontId="6" fillId="7" borderId="1" xfId="0"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left" vertical="center" wrapText="1"/>
    </xf>
    <xf numFmtId="0" fontId="0" fillId="3" borderId="1" xfId="0" applyFill="1" applyBorder="1" applyAlignment="1">
      <alignment horizontal="center"/>
    </xf>
    <xf numFmtId="0" fontId="6" fillId="3" borderId="1" xfId="0" applyFont="1" applyFill="1" applyBorder="1" applyAlignment="1">
      <alignment horizontal="center" vertical="center" wrapText="1"/>
    </xf>
    <xf numFmtId="0" fontId="6" fillId="6" borderId="1" xfId="0" applyNumberFormat="1" applyFont="1" applyFill="1" applyBorder="1" applyAlignment="1">
      <alignment horizontal="center" vertical="center" wrapText="1"/>
    </xf>
    <xf numFmtId="0" fontId="6" fillId="6" borderId="1" xfId="0" applyFont="1" applyFill="1" applyBorder="1" applyAlignment="1">
      <alignment horizontal="left" vertical="center" wrapText="1"/>
    </xf>
    <xf numFmtId="0" fontId="0" fillId="6" borderId="1" xfId="0" applyFill="1" applyBorder="1" applyAlignment="1">
      <alignment horizontal="center"/>
    </xf>
    <xf numFmtId="0" fontId="6" fillId="6" borderId="1" xfId="0" applyFont="1" applyFill="1" applyBorder="1" applyAlignment="1">
      <alignment horizontal="center" vertical="center" wrapText="1"/>
    </xf>
    <xf numFmtId="0" fontId="6" fillId="5" borderId="1" xfId="0" applyNumberFormat="1" applyFont="1" applyFill="1" applyBorder="1" applyAlignment="1">
      <alignment horizontal="center" vertical="center" wrapText="1"/>
    </xf>
    <xf numFmtId="0" fontId="6" fillId="5" borderId="1" xfId="0" applyNumberFormat="1" applyFont="1" applyFill="1" applyBorder="1" applyAlignment="1">
      <alignment horizontal="left" vertical="center" wrapText="1"/>
    </xf>
    <xf numFmtId="0" fontId="0" fillId="5" borderId="1" xfId="0" applyFill="1" applyBorder="1" applyAlignment="1">
      <alignment horizontal="center"/>
    </xf>
    <xf numFmtId="0" fontId="6" fillId="5"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4" borderId="1"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0" fontId="0" fillId="4" borderId="1" xfId="0" applyFill="1" applyBorder="1" applyAlignment="1">
      <alignment horizontal="center"/>
    </xf>
    <xf numFmtId="0" fontId="6" fillId="4" borderId="1" xfId="0" applyFont="1" applyFill="1" applyBorder="1" applyAlignment="1">
      <alignment horizontal="center" vertical="center" wrapText="1"/>
    </xf>
    <xf numFmtId="0" fontId="4" fillId="2" borderId="0" xfId="0" applyNumberFormat="1" applyFont="1" applyFill="1" applyAlignment="1">
      <alignment horizontal="center" wrapText="1"/>
    </xf>
    <xf numFmtId="43" fontId="6" fillId="2" borderId="1" xfId="0" applyNumberFormat="1" applyFont="1" applyFill="1" applyBorder="1" applyAlignment="1">
      <alignment horizontal="center" vertical="center" wrapText="1"/>
    </xf>
    <xf numFmtId="0" fontId="25" fillId="11" borderId="4" xfId="8" applyNumberFormat="1" applyFont="1" applyFill="1" applyBorder="1" applyAlignment="1" applyProtection="1">
      <alignment horizontal="left" vertical="center" wrapText="1"/>
    </xf>
    <xf numFmtId="0" fontId="25" fillId="11" borderId="5" xfId="8" applyNumberFormat="1" applyFont="1" applyFill="1" applyBorder="1" applyAlignment="1" applyProtection="1">
      <alignment horizontal="left" vertical="center" wrapText="1"/>
    </xf>
    <xf numFmtId="0" fontId="25" fillId="11" borderId="6" xfId="8" applyNumberFormat="1" applyFont="1" applyFill="1" applyBorder="1" applyAlignment="1" applyProtection="1">
      <alignment horizontal="left" vertical="center" wrapText="1"/>
    </xf>
    <xf numFmtId="1" fontId="25" fillId="11" borderId="4" xfId="9" applyNumberFormat="1" applyFont="1" applyFill="1" applyBorder="1" applyAlignment="1" applyProtection="1">
      <alignment horizontal="center" vertical="center" shrinkToFit="1"/>
    </xf>
    <xf numFmtId="1" fontId="25" fillId="11" borderId="5" xfId="9" applyNumberFormat="1" applyFont="1" applyFill="1" applyBorder="1" applyAlignment="1" applyProtection="1">
      <alignment horizontal="center" vertical="center" shrinkToFit="1"/>
    </xf>
    <xf numFmtId="1" fontId="25" fillId="11" borderId="6" xfId="9" applyNumberFormat="1" applyFont="1" applyFill="1" applyBorder="1" applyAlignment="1" applyProtection="1">
      <alignment horizontal="center" vertical="center" shrinkToFit="1"/>
    </xf>
    <xf numFmtId="1" fontId="25" fillId="11" borderId="4" xfId="9" applyNumberFormat="1" applyFont="1" applyFill="1" applyBorder="1" applyAlignment="1" applyProtection="1">
      <alignment horizontal="left" vertical="center" shrinkToFit="1"/>
    </xf>
    <xf numFmtId="1" fontId="25" fillId="11" borderId="5" xfId="9" applyNumberFormat="1" applyFont="1" applyFill="1" applyBorder="1" applyAlignment="1" applyProtection="1">
      <alignment horizontal="left" vertical="center" shrinkToFit="1"/>
    </xf>
    <xf numFmtId="1" fontId="25" fillId="11" borderId="6" xfId="9" applyNumberFormat="1" applyFont="1" applyFill="1" applyBorder="1" applyAlignment="1" applyProtection="1">
      <alignment horizontal="left" vertical="center" shrinkToFit="1"/>
    </xf>
    <xf numFmtId="0" fontId="25" fillId="0" borderId="3" xfId="7" applyNumberFormat="1" applyFont="1" applyFill="1" applyAlignment="1" applyProtection="1">
      <alignment horizontal="center" vertical="center" wrapText="1"/>
    </xf>
    <xf numFmtId="0" fontId="25" fillId="0" borderId="3" xfId="7" applyFont="1" applyFill="1" applyAlignment="1">
      <alignment horizontal="center" vertical="center" wrapText="1"/>
    </xf>
    <xf numFmtId="0" fontId="25" fillId="0" borderId="3" xfId="7" applyNumberFormat="1" applyFont="1" applyAlignment="1" applyProtection="1">
      <alignment horizontal="center" vertical="center" wrapText="1"/>
    </xf>
    <xf numFmtId="0" fontId="25" fillId="0" borderId="3" xfId="7" applyFont="1" applyAlignment="1">
      <alignment horizontal="center" vertical="center" wrapText="1"/>
    </xf>
    <xf numFmtId="0" fontId="25" fillId="0" borderId="0" xfId="1" applyNumberFormat="1" applyFont="1" applyAlignment="1" applyProtection="1">
      <alignment vertical="center" wrapText="1"/>
    </xf>
    <xf numFmtId="0" fontId="25" fillId="0" borderId="0" xfId="1" applyFont="1" applyAlignment="1">
      <alignment vertical="center" wrapText="1"/>
    </xf>
    <xf numFmtId="0" fontId="25" fillId="0" borderId="0" xfId="4" applyNumberFormat="1" applyFont="1" applyAlignment="1" applyProtection="1">
      <alignment horizontal="center" vertical="center" wrapText="1"/>
    </xf>
    <xf numFmtId="0" fontId="25" fillId="0" borderId="0" xfId="4" applyFont="1" applyAlignment="1">
      <alignment horizontal="center" vertical="center" wrapText="1"/>
    </xf>
    <xf numFmtId="0" fontId="25" fillId="0" borderId="0" xfId="5" applyNumberFormat="1" applyFont="1" applyAlignment="1" applyProtection="1">
      <alignment horizontal="center" vertical="center"/>
    </xf>
    <xf numFmtId="0" fontId="25" fillId="0" borderId="0" xfId="5" applyFont="1" applyAlignment="1">
      <alignment horizontal="center" vertical="center"/>
    </xf>
    <xf numFmtId="0" fontId="25" fillId="0" borderId="0" xfId="6" applyNumberFormat="1" applyFont="1" applyAlignment="1" applyProtection="1">
      <alignment horizontal="right" vertical="center"/>
    </xf>
    <xf numFmtId="0" fontId="25" fillId="0" borderId="0" xfId="6" applyFont="1" applyAlignment="1">
      <alignment horizontal="right" vertical="center"/>
    </xf>
    <xf numFmtId="0" fontId="48" fillId="2" borderId="1" xfId="0" applyFont="1" applyFill="1" applyBorder="1" applyAlignment="1">
      <alignment horizontal="center" vertical="center" wrapText="1"/>
    </xf>
    <xf numFmtId="0" fontId="0" fillId="3" borderId="16"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13" fillId="13" borderId="16" xfId="0" applyFont="1" applyFill="1" applyBorder="1" applyAlignment="1">
      <alignment horizontal="center" vertical="center" wrapText="1"/>
    </xf>
    <xf numFmtId="0" fontId="13" fillId="13" borderId="17" xfId="0" applyFont="1" applyFill="1" applyBorder="1" applyAlignment="1">
      <alignment horizontal="center" vertical="center" wrapText="1"/>
    </xf>
    <xf numFmtId="0" fontId="13" fillId="13" borderId="18" xfId="0" applyFont="1" applyFill="1" applyBorder="1" applyAlignment="1">
      <alignment horizontal="center" vertical="center" wrapText="1"/>
    </xf>
    <xf numFmtId="0" fontId="31" fillId="0" borderId="0" xfId="16" applyFont="1" applyBorder="1" applyAlignment="1">
      <alignment horizontal="center" vertical="center" wrapText="1"/>
    </xf>
    <xf numFmtId="0" fontId="30" fillId="0" borderId="0" xfId="16" applyFont="1" applyBorder="1"/>
    <xf numFmtId="4" fontId="30" fillId="0" borderId="0" xfId="16" applyNumberFormat="1" applyFont="1" applyBorder="1" applyAlignment="1">
      <alignment horizontal="center"/>
    </xf>
    <xf numFmtId="4" fontId="37" fillId="0" borderId="0" xfId="16" applyNumberFormat="1" applyFont="1" applyBorder="1" applyAlignment="1">
      <alignment horizontal="center" wrapText="1"/>
    </xf>
    <xf numFmtId="0" fontId="30" fillId="0" borderId="0" xfId="16" applyFont="1" applyBorder="1" applyAlignment="1">
      <alignment horizontal="center"/>
    </xf>
    <xf numFmtId="0" fontId="28" fillId="0" borderId="3" xfId="12" applyNumberFormat="1" applyProtection="1">
      <alignment horizontal="left"/>
    </xf>
    <xf numFmtId="0" fontId="28" fillId="0" borderId="3" xfId="12">
      <alignment horizontal="left"/>
    </xf>
    <xf numFmtId="0" fontId="24" fillId="0" borderId="0" xfId="15" applyNumberFormat="1" applyProtection="1">
      <alignment horizontal="left" wrapText="1"/>
    </xf>
    <xf numFmtId="0" fontId="24" fillId="0" borderId="0" xfId="15">
      <alignment horizontal="left" wrapText="1"/>
    </xf>
    <xf numFmtId="0" fontId="24" fillId="0" borderId="3" xfId="7" applyNumberFormat="1" applyProtection="1">
      <alignment horizontal="center" vertical="center" wrapText="1"/>
    </xf>
    <xf numFmtId="0" fontId="24" fillId="0" borderId="3" xfId="7">
      <alignment horizontal="center" vertical="center" wrapText="1"/>
    </xf>
    <xf numFmtId="0" fontId="24" fillId="0" borderId="0" xfId="1" applyNumberFormat="1" applyProtection="1">
      <alignment wrapText="1"/>
    </xf>
    <xf numFmtId="0" fontId="24" fillId="0" borderId="0" xfId="1">
      <alignment wrapText="1"/>
    </xf>
    <xf numFmtId="0" fontId="27" fillId="0" borderId="0" xfId="4" applyNumberFormat="1" applyProtection="1">
      <alignment horizontal="center" wrapText="1"/>
    </xf>
    <xf numFmtId="0" fontId="27" fillId="0" borderId="0" xfId="4">
      <alignment horizontal="center" wrapText="1"/>
    </xf>
    <xf numFmtId="0" fontId="27" fillId="0" borderId="0" xfId="5" applyNumberFormat="1" applyProtection="1">
      <alignment horizontal="center"/>
    </xf>
    <xf numFmtId="0" fontId="27" fillId="0" borderId="0" xfId="5">
      <alignment horizontal="center"/>
    </xf>
    <xf numFmtId="0" fontId="24" fillId="0" borderId="0" xfId="6" applyNumberFormat="1" applyProtection="1">
      <alignment horizontal="right"/>
    </xf>
    <xf numFmtId="0" fontId="24" fillId="0" borderId="0" xfId="6">
      <alignment horizontal="right"/>
    </xf>
    <xf numFmtId="0" fontId="52" fillId="2" borderId="0" xfId="0" applyNumberFormat="1" applyFont="1" applyFill="1" applyAlignment="1">
      <alignment horizontal="center" wrapText="1"/>
    </xf>
    <xf numFmtId="0" fontId="29" fillId="2" borderId="1" xfId="0" applyFont="1" applyFill="1" applyBorder="1" applyAlignment="1">
      <alignment horizontal="center" vertical="center" wrapText="1"/>
    </xf>
    <xf numFmtId="0" fontId="29" fillId="2" borderId="19"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29" fillId="2" borderId="1" xfId="18" applyFont="1" applyFill="1" applyBorder="1" applyAlignment="1">
      <alignment horizontal="center" vertical="center" wrapText="1"/>
    </xf>
    <xf numFmtId="0" fontId="29" fillId="2" borderId="19" xfId="18" applyFont="1" applyFill="1" applyBorder="1" applyAlignment="1">
      <alignment horizontal="center" vertical="center" wrapText="1"/>
    </xf>
    <xf numFmtId="0" fontId="29" fillId="2" borderId="20" xfId="18" applyFont="1" applyFill="1" applyBorder="1" applyAlignment="1">
      <alignment horizontal="center" vertical="center" wrapText="1"/>
    </xf>
    <xf numFmtId="0" fontId="22" fillId="2" borderId="0" xfId="0" applyFont="1" applyFill="1" applyAlignment="1">
      <alignment horizontal="left" vertical="top" wrapText="1"/>
    </xf>
    <xf numFmtId="0" fontId="59" fillId="19" borderId="16" xfId="0" applyNumberFormat="1" applyFont="1" applyFill="1" applyBorder="1" applyAlignment="1">
      <alignment horizontal="center" vertical="center" wrapText="1"/>
    </xf>
    <xf numFmtId="0" fontId="59" fillId="19" borderId="18" xfId="0" applyNumberFormat="1" applyFont="1" applyFill="1" applyBorder="1" applyAlignment="1">
      <alignment horizontal="center" vertical="center" wrapText="1"/>
    </xf>
    <xf numFmtId="0" fontId="59" fillId="26" borderId="19" xfId="0" applyFont="1" applyFill="1" applyBorder="1" applyAlignment="1">
      <alignment horizontal="left" vertical="center" wrapText="1"/>
    </xf>
    <xf numFmtId="0" fontId="59" fillId="26" borderId="20" xfId="0" applyFont="1" applyFill="1" applyBorder="1" applyAlignment="1">
      <alignment horizontal="left" vertical="center" wrapText="1"/>
    </xf>
    <xf numFmtId="0" fontId="59" fillId="26" borderId="21" xfId="0" applyFont="1" applyFill="1" applyBorder="1" applyAlignment="1">
      <alignment horizontal="left" vertical="center" wrapText="1"/>
    </xf>
    <xf numFmtId="0" fontId="29" fillId="26" borderId="16" xfId="0" applyNumberFormat="1" applyFont="1" applyFill="1" applyBorder="1" applyAlignment="1">
      <alignment horizontal="center" vertical="center" wrapText="1"/>
    </xf>
    <xf numFmtId="0" fontId="29" fillId="26" borderId="18" xfId="0" applyNumberFormat="1" applyFont="1" applyFill="1" applyBorder="1" applyAlignment="1">
      <alignment horizontal="center" vertical="center" wrapText="1"/>
    </xf>
    <xf numFmtId="0" fontId="22" fillId="2" borderId="0" xfId="0" applyFont="1" applyFill="1" applyAlignment="1">
      <alignment horizontal="left" vertical="top"/>
    </xf>
    <xf numFmtId="0" fontId="59" fillId="19" borderId="19" xfId="0" applyFont="1" applyFill="1" applyBorder="1" applyAlignment="1">
      <alignment horizontal="center" vertical="center"/>
    </xf>
    <xf numFmtId="0" fontId="59" fillId="19" borderId="20" xfId="0" applyFont="1" applyFill="1" applyBorder="1" applyAlignment="1">
      <alignment horizontal="center" vertical="center"/>
    </xf>
    <xf numFmtId="0" fontId="59" fillId="19" borderId="21" xfId="0" applyFont="1" applyFill="1" applyBorder="1" applyAlignment="1">
      <alignment horizontal="center" vertical="center"/>
    </xf>
    <xf numFmtId="0" fontId="64" fillId="19" borderId="19" xfId="0" applyFont="1" applyFill="1" applyBorder="1" applyAlignment="1">
      <alignment horizontal="center" vertical="center" wrapText="1"/>
    </xf>
    <xf numFmtId="0" fontId="64" fillId="19" borderId="20" xfId="0" applyFont="1" applyFill="1" applyBorder="1" applyAlignment="1">
      <alignment horizontal="center" vertical="center" wrapText="1"/>
    </xf>
    <xf numFmtId="0" fontId="64" fillId="19" borderId="21" xfId="0" applyFont="1" applyFill="1" applyBorder="1" applyAlignment="1">
      <alignment horizontal="center" vertical="center" wrapText="1"/>
    </xf>
    <xf numFmtId="0" fontId="23" fillId="0" borderId="16"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58" fillId="0" borderId="16" xfId="0" applyFont="1" applyFill="1" applyBorder="1" applyAlignment="1">
      <alignment horizontal="left" vertical="center" wrapText="1"/>
    </xf>
    <xf numFmtId="0" fontId="58" fillId="0" borderId="18" xfId="0" applyFont="1" applyFill="1" applyBorder="1" applyAlignment="1">
      <alignment horizontal="left" vertical="center" wrapText="1"/>
    </xf>
    <xf numFmtId="0" fontId="52" fillId="2" borderId="0" xfId="0" applyFont="1" applyFill="1" applyAlignment="1">
      <alignment horizontal="center" wrapText="1"/>
    </xf>
    <xf numFmtId="0" fontId="52" fillId="2" borderId="0" xfId="0" applyFont="1" applyFill="1" applyAlignment="1">
      <alignment horizontal="center"/>
    </xf>
    <xf numFmtId="43" fontId="0" fillId="2" borderId="0" xfId="0" applyNumberFormat="1" applyFill="1" applyAlignment="1">
      <alignment horizontal="center"/>
    </xf>
    <xf numFmtId="10" fontId="6" fillId="2" borderId="1" xfId="17" applyNumberFormat="1" applyFont="1" applyFill="1" applyBorder="1" applyAlignment="1">
      <alignment horizontal="center" vertical="center" wrapText="1"/>
    </xf>
    <xf numFmtId="10" fontId="5" fillId="2" borderId="1" xfId="17" applyNumberFormat="1" applyFont="1" applyFill="1" applyBorder="1" applyAlignment="1">
      <alignment horizontal="center" vertical="center" wrapText="1"/>
    </xf>
    <xf numFmtId="10" fontId="6" fillId="4" borderId="1" xfId="17" applyNumberFormat="1" applyFont="1" applyFill="1" applyBorder="1" applyAlignment="1">
      <alignment horizontal="center" vertical="center" wrapText="1"/>
    </xf>
    <xf numFmtId="10" fontId="5" fillId="5" borderId="1" xfId="17" applyNumberFormat="1" applyFont="1" applyFill="1" applyBorder="1" applyAlignment="1">
      <alignment horizontal="center" vertical="center" wrapText="1"/>
    </xf>
    <xf numFmtId="10" fontId="6" fillId="5" borderId="1" xfId="17" applyNumberFormat="1" applyFont="1" applyFill="1" applyBorder="1" applyAlignment="1">
      <alignment horizontal="center" vertical="center" wrapText="1"/>
    </xf>
    <xf numFmtId="10" fontId="6" fillId="6" borderId="1" xfId="17" applyNumberFormat="1" applyFont="1" applyFill="1" applyBorder="1" applyAlignment="1">
      <alignment horizontal="center" vertical="center" wrapText="1"/>
    </xf>
    <xf numFmtId="10" fontId="6" fillId="3" borderId="1" xfId="17" applyNumberFormat="1" applyFont="1" applyFill="1" applyBorder="1" applyAlignment="1">
      <alignment horizontal="center" vertical="center" wrapText="1"/>
    </xf>
    <xf numFmtId="10" fontId="5" fillId="3" borderId="1" xfId="17" applyNumberFormat="1" applyFont="1" applyFill="1" applyBorder="1" applyAlignment="1">
      <alignment horizontal="center" vertical="center" wrapText="1"/>
    </xf>
    <xf numFmtId="10" fontId="5" fillId="7" borderId="1" xfId="17" applyNumberFormat="1" applyFont="1" applyFill="1" applyBorder="1" applyAlignment="1">
      <alignment horizontal="center" vertical="center" wrapText="1"/>
    </xf>
    <xf numFmtId="10" fontId="5" fillId="8" borderId="1" xfId="17" applyNumberFormat="1" applyFont="1" applyFill="1" applyBorder="1" applyAlignment="1">
      <alignment horizontal="center" vertical="center" wrapText="1"/>
    </xf>
    <xf numFmtId="10" fontId="6" fillId="8" borderId="1" xfId="17" applyNumberFormat="1" applyFont="1" applyFill="1" applyBorder="1" applyAlignment="1">
      <alignment horizontal="center" vertical="center" wrapText="1"/>
    </xf>
    <xf numFmtId="10" fontId="13" fillId="8" borderId="1" xfId="17" applyNumberFormat="1" applyFont="1" applyFill="1" applyBorder="1" applyAlignment="1">
      <alignment horizontal="center" vertical="center" wrapText="1"/>
    </xf>
    <xf numFmtId="10" fontId="14" fillId="0" borderId="1" xfId="17" applyNumberFormat="1" applyFont="1" applyFill="1" applyBorder="1" applyAlignment="1">
      <alignment horizontal="center" vertical="center" wrapText="1"/>
    </xf>
    <xf numFmtId="10" fontId="13" fillId="0" borderId="1" xfId="17" applyNumberFormat="1" applyFont="1" applyFill="1" applyBorder="1" applyAlignment="1">
      <alignment horizontal="center" vertical="center" wrapText="1"/>
    </xf>
    <xf numFmtId="10" fontId="14" fillId="8" borderId="1" xfId="17" applyNumberFormat="1" applyFont="1" applyFill="1" applyBorder="1" applyAlignment="1">
      <alignment horizontal="center" vertical="center" wrapText="1"/>
    </xf>
    <xf numFmtId="10" fontId="14" fillId="2" borderId="1" xfId="17" applyNumberFormat="1" applyFont="1" applyFill="1" applyBorder="1" applyAlignment="1">
      <alignment horizontal="center" vertical="center" wrapText="1"/>
    </xf>
    <xf numFmtId="10" fontId="13" fillId="2" borderId="1" xfId="17" applyNumberFormat="1" applyFont="1" applyFill="1" applyBorder="1" applyAlignment="1">
      <alignment horizontal="center" vertical="center" wrapText="1"/>
    </xf>
    <xf numFmtId="9" fontId="6" fillId="9" borderId="1" xfId="17" applyFont="1" applyFill="1" applyBorder="1" applyAlignment="1">
      <alignment horizontal="center" vertical="center" wrapText="1"/>
    </xf>
    <xf numFmtId="9" fontId="6" fillId="10" borderId="1" xfId="17" applyFont="1" applyFill="1" applyBorder="1" applyAlignment="1">
      <alignment horizontal="center" vertical="center" wrapText="1"/>
    </xf>
    <xf numFmtId="9" fontId="6" fillId="2" borderId="1" xfId="17" applyFont="1" applyFill="1" applyBorder="1" applyAlignment="1">
      <alignment horizontal="center" vertical="center" wrapText="1"/>
    </xf>
    <xf numFmtId="9" fontId="14" fillId="10" borderId="1" xfId="17" applyFont="1" applyFill="1" applyBorder="1" applyAlignment="1">
      <alignment horizontal="center" vertical="center" wrapText="1"/>
    </xf>
    <xf numFmtId="9" fontId="13" fillId="10" borderId="1" xfId="17" applyFont="1" applyFill="1" applyBorder="1" applyAlignment="1">
      <alignment horizontal="center" vertical="center" wrapText="1"/>
    </xf>
    <xf numFmtId="9" fontId="5" fillId="2" borderId="1" xfId="17" applyFont="1" applyFill="1" applyBorder="1" applyAlignment="1">
      <alignment horizontal="center" vertical="center" wrapText="1"/>
    </xf>
    <xf numFmtId="9" fontId="5" fillId="12" borderId="1" xfId="17" applyFont="1" applyFill="1" applyBorder="1" applyAlignment="1">
      <alignment horizontal="center" vertical="center" wrapText="1"/>
    </xf>
    <xf numFmtId="9" fontId="6" fillId="12" borderId="1" xfId="17" applyFont="1" applyFill="1" applyBorder="1" applyAlignment="1">
      <alignment horizontal="center" vertical="center" wrapText="1"/>
    </xf>
    <xf numFmtId="9" fontId="5" fillId="13" borderId="1" xfId="17" applyFont="1" applyFill="1" applyBorder="1" applyAlignment="1">
      <alignment horizontal="center" vertical="center" wrapText="1"/>
    </xf>
    <xf numFmtId="9" fontId="6" fillId="13" borderId="1" xfId="17" applyFont="1" applyFill="1" applyBorder="1" applyAlignment="1">
      <alignment horizontal="center" vertical="center" wrapText="1"/>
    </xf>
    <xf numFmtId="9" fontId="14" fillId="13" borderId="1" xfId="17" applyFont="1" applyFill="1" applyBorder="1" applyAlignment="1">
      <alignment horizontal="center" vertical="center" wrapText="1"/>
    </xf>
    <xf numFmtId="9" fontId="13" fillId="13" borderId="1" xfId="17" applyFont="1" applyFill="1" applyBorder="1" applyAlignment="1">
      <alignment horizontal="center" vertical="center" wrapText="1"/>
    </xf>
    <xf numFmtId="9" fontId="14" fillId="2" borderId="1" xfId="17" applyFont="1" applyFill="1" applyBorder="1" applyAlignment="1">
      <alignment horizontal="center" vertical="center" wrapText="1"/>
    </xf>
    <xf numFmtId="9" fontId="13" fillId="2" borderId="1" xfId="17" applyFont="1" applyFill="1" applyBorder="1" applyAlignment="1">
      <alignment horizontal="center" vertical="center" wrapText="1"/>
    </xf>
    <xf numFmtId="43" fontId="22" fillId="2" borderId="0" xfId="0" applyNumberFormat="1" applyFont="1" applyFill="1" applyAlignment="1">
      <alignment horizontal="center" wrapText="1"/>
    </xf>
    <xf numFmtId="43" fontId="23" fillId="2" borderId="0" xfId="0" applyNumberFormat="1" applyFont="1" applyFill="1" applyAlignment="1">
      <alignment horizontal="center" wrapText="1"/>
    </xf>
    <xf numFmtId="10" fontId="5" fillId="2" borderId="1" xfId="0" applyNumberFormat="1" applyFont="1" applyFill="1" applyBorder="1" applyAlignment="1">
      <alignment horizontal="center" vertical="center" wrapText="1"/>
    </xf>
    <xf numFmtId="9" fontId="5" fillId="4" borderId="1" xfId="17" applyFont="1" applyFill="1" applyBorder="1" applyAlignment="1">
      <alignment horizontal="center" vertical="center" wrapText="1"/>
    </xf>
    <xf numFmtId="9" fontId="6" fillId="5" borderId="1" xfId="17" applyFont="1" applyFill="1" applyBorder="1" applyAlignment="1">
      <alignment horizontal="center" vertical="center" wrapText="1"/>
    </xf>
    <xf numFmtId="9" fontId="6" fillId="6" borderId="1" xfId="17" applyNumberFormat="1" applyFont="1" applyFill="1" applyBorder="1" applyAlignment="1">
      <alignment horizontal="center" vertical="center" wrapText="1"/>
    </xf>
    <xf numFmtId="9" fontId="6" fillId="3" borderId="1" xfId="17" applyFont="1" applyFill="1" applyBorder="1" applyAlignment="1">
      <alignment horizontal="center" vertical="center" wrapText="1"/>
    </xf>
    <xf numFmtId="9" fontId="6" fillId="7" borderId="1" xfId="17" applyFont="1" applyFill="1" applyBorder="1" applyAlignment="1">
      <alignment horizontal="center" vertical="center" wrapText="1"/>
    </xf>
    <xf numFmtId="9" fontId="6" fillId="8" borderId="1" xfId="17" applyFont="1" applyFill="1" applyBorder="1" applyAlignment="1">
      <alignment horizontal="center" vertical="center" wrapText="1"/>
    </xf>
    <xf numFmtId="9" fontId="13" fillId="8" borderId="1" xfId="17" applyFont="1" applyFill="1" applyBorder="1" applyAlignment="1">
      <alignment horizontal="center" vertical="center" wrapText="1"/>
    </xf>
    <xf numFmtId="0" fontId="22" fillId="2" borderId="0" xfId="0" applyFont="1" applyFill="1"/>
    <xf numFmtId="0" fontId="0" fillId="2" borderId="2" xfId="0" applyFill="1" applyBorder="1"/>
    <xf numFmtId="0" fontId="2" fillId="0" borderId="0" xfId="0" applyFont="1" applyFill="1" applyAlignment="1">
      <alignment horizontal="center" vertical="center"/>
    </xf>
  </cellXfs>
  <cellStyles count="21">
    <cellStyle name="xl22" xfId="7"/>
    <cellStyle name="xl24" xfId="2"/>
    <cellStyle name="xl25" xfId="9"/>
    <cellStyle name="xl26" xfId="12"/>
    <cellStyle name="xl28" xfId="13"/>
    <cellStyle name="xl29" xfId="1"/>
    <cellStyle name="xl30" xfId="15"/>
    <cellStyle name="xl32" xfId="14"/>
    <cellStyle name="xl33" xfId="4"/>
    <cellStyle name="xl34" xfId="5"/>
    <cellStyle name="xl35" xfId="6"/>
    <cellStyle name="xl37" xfId="8"/>
    <cellStyle name="xl38" xfId="10"/>
    <cellStyle name="xl39" xfId="11"/>
    <cellStyle name="Гиперссылка" xfId="18" builtinId="8"/>
    <cellStyle name="Обычный" xfId="0" builtinId="0"/>
    <cellStyle name="Обычный 2" xfId="3"/>
    <cellStyle name="Обычный 2 5" xfId="16"/>
    <cellStyle name="Обычный 5" xfId="19"/>
    <cellStyle name="Процентный" xfId="17" builtinId="5"/>
    <cellStyle name="Финансовый 2"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akonovaEV.ZATO-A/Desktop/&#1052;&#1059;&#1053;&#1048;&#1062;&#1048;&#1055;&#1040;&#1051;&#1068;&#1053;&#1067;&#1045;%20&#1055;&#1056;&#1054;&#1043;&#1056;&#1040;&#1052;&#1052;&#1067;/&#1052;&#1055;%20&#1054;&#1041;&#1056;&#1040;&#1047;&#1054;&#1042;&#1040;&#1053;&#1048;&#1045;%20&#1085;&#1072;%202021-2025/&#1052;&#1055;%20&#1086;&#1073;&#1088;&#1072;&#1079;&#1086;&#1074;&#1072;&#1085;&#1080;&#1077;%202021-2025%20&#1056;&#1040;&#1041;.&#1042;&#1040;&#1056;&#1048;&#1040;&#1053;&#1058;%20&#1080;&#1102;&#1083;&#110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737%20&#1061;&#1069;&#1050;%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ZakonovaEV.ZATO-A/Desktop/&#1052;&#1059;&#1053;&#1048;&#1062;&#1048;&#1055;&#1040;&#1051;&#1068;&#1053;&#1067;&#1045;%20&#1055;&#1056;&#1054;&#1043;&#1056;&#1040;&#1052;&#1052;&#1067;/&#1052;&#1055;%20&#1054;&#1041;&#1056;&#1040;&#1047;&#1054;&#1042;&#1040;&#1053;&#1048;&#1045;%20&#1085;&#1072;%202021-2025/&#1087;&#1088;&#1086;&#1075;&#1088;&#1072;&#1084;&#1084;&#1072;%20+%20&#1087;&#1088;&#1080;&#1082;&#1072;&#1079;%20+&#1087;&#1083;&#1072;&#1085;%20&#1088;&#1077;&#1072;&#1083;&#1080;&#1079;&#1072;&#1094;&#1080;&#1080;%20&#1059;&#1058;&#1054;&#1063;&#1053;&#1045;&#1053;&#1048;&#1045;%202021%2028.01.2022/&#1052;&#1055;%20&#1086;&#1073;&#1088;&#1072;&#1079;&#1086;&#1074;&#1072;&#1085;&#1080;&#1077;%202022-2025%20&#1056;&#1040;&#1041;.&#1042;&#1040;&#1056;&#1048;&#1040;&#1053;&#1058;%20&#1059;&#1058;&#1054;&#1063;&#1053;&#1045;&#1053;&#1048;&#1045;%202021%2004.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ZakonovaEV.ZATO-A/Downloads/&#1055;&#1040;&#1057;&#1055;&#1054;&#1056;&#1058;%2001%2008%202021/01.08.2021%20&#1076;&#1083;&#1103;%20&#1087;&#1072;&#1089;&#1087;&#1086;&#1088;&#1090;&#10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akonovaEV.ZATO-A/Desktop/&#1052;&#1059;&#1053;&#1048;&#1062;&#1048;&#1055;&#1040;&#1051;&#1068;&#1053;&#1067;&#1045;%20&#1055;&#1056;&#1054;&#1043;&#1056;&#1040;&#1052;&#1052;&#1067;/&#1052;&#1055;%20&#1054;&#1041;&#1056;&#1040;&#1047;&#1054;&#1042;&#1040;&#1053;&#1048;&#1045;%20&#1085;&#1072;%202021-2025/&#1054;&#1058;&#1063;&#1045;&#1058;%20&#1087;&#1086;%20&#1052;&#1055;/&#1085;&#1072;%2001.07.2021/737%20&#1042;&#1041;%20&#1040;&#1059;%20&#1085;&#1072;%2001.07.20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akonovaEV.ZATO-A/Desktop/&#1052;&#1059;&#1053;&#1048;&#1062;&#1048;&#1055;&#1040;&#1051;&#1068;&#1053;&#1067;&#1045;%20&#1055;&#1056;&#1054;&#1043;&#1056;&#1040;&#1052;&#1052;&#1067;/&#1052;&#1055;%20&#1054;&#1041;&#1056;&#1040;&#1047;&#1054;&#1042;&#1040;&#1053;&#1048;&#1045;%20&#1085;&#1072;%202021-2025/&#1087;&#1088;&#1086;&#1075;&#1088;&#1072;&#1084;&#1084;&#1072;%20&#1087;&#1088;&#1080;&#1082;&#1072;&#1079;%20+%20&#1087;&#1083;&#1072;&#1085;%20&#1088;&#1077;&#1072;&#1083;&#1080;&#1079;&#1072;&#1094;&#1080;&#1080;%20&#1086;&#1090;%2020.10.2021/&#1052;&#1055;%20&#1086;&#1073;&#1088;&#1072;&#1079;&#1086;&#1074;&#1072;&#1085;&#1080;&#1077;%202021-2025%20&#1056;&#1040;&#1041;.&#1042;&#1040;&#1056;&#1048;&#1040;&#1053;&#1058;%2011.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ZakonovaEV.ZATO-A/Desktop/&#1052;&#1059;&#1053;&#1048;&#1062;&#1048;&#1055;&#1040;&#1051;&#1068;&#1053;&#1067;&#1045;%20&#1055;&#1056;&#1054;&#1043;&#1056;&#1040;&#1052;&#1052;&#1067;/&#1052;&#1055;%20&#1054;&#1041;&#1056;&#1040;&#1047;&#1054;&#1042;&#1040;&#1053;&#1048;&#1045;%20&#1085;&#1072;%202021-2025/&#1054;&#1058;&#1063;&#1045;&#1058;%20&#1087;&#1086;%20&#1052;&#1055;/737%20&#1042;&#1041;%20&#1040;&#1059;%20&#1085;&#1072;%2001.10.20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ZakonovaEV.ZATO-A/Desktop/&#1052;&#1059;&#1053;&#1048;&#1062;&#1048;&#1055;&#1040;&#1051;&#1068;&#1053;&#1067;&#1045;%20&#1055;&#1056;&#1054;&#1043;&#1056;&#1040;&#1052;&#1052;&#1067;/&#1052;&#1055;%20&#1054;&#1041;&#1056;&#1040;&#1047;&#1054;&#1042;&#1040;&#1053;&#1048;&#1045;%20&#1085;&#1072;%202021-2025/&#1054;&#1058;&#1063;&#1045;&#1058;%20&#1087;&#1086;%20&#1052;&#1055;/&#1059;&#1054;%20&#1057;&#1042;&#1054;&#1044;%20&#1042;&#1041;%20&#1085;&#1072;%2001.10.2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ZakonovaEV.ZATO-A/Desktop/&#1052;&#1059;&#1053;&#1048;&#1062;&#1048;&#1055;&#1040;&#1051;&#1068;&#1053;&#1067;&#1045;%20&#1055;&#1056;&#1054;&#1043;&#1056;&#1040;&#1052;&#1052;&#1067;/&#1052;&#1055;%20&#1054;&#1041;&#1056;&#1040;&#1047;&#1054;&#1042;&#1040;&#1053;&#1048;&#1045;%20&#1085;&#1072;%202021-2025/&#1087;&#1088;&#1086;&#1075;&#1088;&#1072;&#1084;&#1084;&#1072;%20+%20&#1087;&#1088;&#1080;&#1082;&#1072;&#1079;%20+&#1087;&#1083;&#1072;&#1085;%20&#1088;&#1077;&#1072;&#1083;&#1080;&#1079;&#1072;&#1094;&#1080;&#1080;%20399%20&#1086;&#1090;%2021.02.2022/&#1052;&#1055;%20&#1086;&#1073;&#1088;&#1072;&#1079;&#1086;&#1074;&#1072;&#1085;&#1080;&#1077;%202022-2025%20&#1056;&#1040;&#1041;.&#1042;&#1040;&#1056;&#1048;&#1040;&#1053;&#1058;%20&#1059;&#1058;&#1054;&#1063;&#1053;&#1045;&#1053;&#1048;&#1045;%202021%2004.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59;&#1054;%20%20&#1057;&#1042;&#1054;&#1044;%20%20&#1042;&#1041;%20&#1085;&#1072;%2001.01.2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ZakonovaEV.ZATO-A/Desktop/&#1052;&#1059;&#1053;&#1048;&#1062;&#1048;&#1055;&#1040;&#1051;&#1068;&#1053;&#1067;&#1045;%20&#1055;&#1056;&#1054;&#1043;&#1056;&#1040;&#1052;&#1052;&#1067;/&#1052;&#1055;%20&#1054;&#1041;&#1056;&#1040;&#1047;&#1054;&#1042;&#1040;&#1053;&#1048;&#1045;%20&#1085;&#1072;%202021-2025/&#1087;&#1088;&#1086;&#1075;&#1088;&#1072;&#1084;&#1084;&#1072;%20+%20&#1087;&#1088;&#1080;&#1082;&#1072;&#1079;%20+&#1087;&#1083;&#1072;&#1085;%20&#1088;&#1077;&#1072;&#1083;&#1080;&#1079;&#1072;&#1094;&#1080;&#1080;%20399%20&#1086;&#1090;%2021.02.2022/&#1042;&#1085;&#1077;&#1073;&#1102;&#1076;&#1078;&#1077;&#1090;%202021-2022%20&#1082;&#1091;&#1083;&#1100;&#1090;&#1091;&#1088;&#107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ZakonovaEV.ZATO-A/Desktop/&#1052;&#1059;&#1053;&#1048;&#1062;&#1048;&#1055;&#1040;&#1051;&#1068;&#1053;&#1067;&#1045;%20&#1055;&#1056;&#1054;&#1043;&#1056;&#1040;&#1052;&#1052;&#1067;/&#1052;&#1055;%20&#1054;&#1041;&#1056;&#1040;&#1047;&#1054;&#1042;&#1040;&#1053;&#1048;&#1045;%20&#1085;&#1072;%202021-2025/&#1087;&#1088;&#1086;&#1075;&#1088;&#1072;&#1084;&#1084;&#1072;%20+%20&#1087;&#1088;&#1080;&#1082;&#1072;&#1079;%20+&#1087;&#1083;&#1072;&#1085;%20&#1088;&#1077;&#1072;&#1083;&#1080;&#1079;&#1072;&#1094;&#1080;&#1080;%20399%20&#1086;&#1090;%2021.02.2022/&#1055;&#1088;&#1086;&#1075;&#1088;&#1072;&#1084;&#1084;&#1072;%20&#1054;&#1073;&#1088;&#1072;&#1079;&#1086;&#1074;&#1072;&#1085;&#1080;&#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2"/>
      <sheetName val="табл.3"/>
      <sheetName val="табл.4"/>
      <sheetName val="табл.5"/>
      <sheetName val="табл.5(а)"/>
      <sheetName val="табл.7"/>
      <sheetName val="табл.5(б)"/>
      <sheetName val="табл.6"/>
      <sheetName val="табл.8"/>
      <sheetName val="табл.9"/>
      <sheetName val="табл.10(а)"/>
      <sheetName val="табл.10(б)"/>
      <sheetName val="табл.10(в)"/>
      <sheetName val="РРО 2021-2022 посл вар с усл"/>
      <sheetName val="усл.утв"/>
      <sheetName val="11а. Отч мероп 01.07.21"/>
      <sheetName val="11б. Отч ОКС"/>
      <sheetName val="01 07 2021"/>
      <sheetName val="11в. Отч пок "/>
      <sheetName val="11г Оц эф"/>
    </sheetNames>
    <sheetDataSet>
      <sheetData sheetId="0"/>
      <sheetData sheetId="1"/>
      <sheetData sheetId="2"/>
      <sheetData sheetId="3"/>
      <sheetData sheetId="4"/>
      <sheetData sheetId="5"/>
      <sheetData sheetId="6"/>
      <sheetData sheetId="7"/>
      <sheetData sheetId="8">
        <row r="7">
          <cell r="F7">
            <v>1067695663.6800001</v>
          </cell>
          <cell r="G7">
            <v>94351100.859999999</v>
          </cell>
          <cell r="H7">
            <v>812914304.75</v>
          </cell>
          <cell r="I7">
            <v>134091317</v>
          </cell>
        </row>
        <row r="61">
          <cell r="F61">
            <v>0</v>
          </cell>
          <cell r="G61">
            <v>0</v>
          </cell>
          <cell r="H61">
            <v>0</v>
          </cell>
          <cell r="I61">
            <v>0</v>
          </cell>
        </row>
        <row r="73">
          <cell r="F73">
            <v>0</v>
          </cell>
          <cell r="G73">
            <v>0</v>
          </cell>
          <cell r="H73">
            <v>0</v>
          </cell>
          <cell r="I73">
            <v>0</v>
          </cell>
        </row>
        <row r="127">
          <cell r="F127">
            <v>0</v>
          </cell>
          <cell r="G127">
            <v>0</v>
          </cell>
          <cell r="H127">
            <v>0</v>
          </cell>
          <cell r="I127">
            <v>0</v>
          </cell>
        </row>
        <row r="181">
          <cell r="F181">
            <v>0</v>
          </cell>
          <cell r="G181">
            <v>0</v>
          </cell>
          <cell r="H181">
            <v>25310465.300000001</v>
          </cell>
          <cell r="I181">
            <v>3492710</v>
          </cell>
        </row>
        <row r="187">
          <cell r="F187">
            <v>2332592.79</v>
          </cell>
          <cell r="G187">
            <v>0</v>
          </cell>
          <cell r="H187">
            <v>54094530.020000003</v>
          </cell>
          <cell r="I187">
            <v>0</v>
          </cell>
        </row>
        <row r="193">
          <cell r="F193">
            <v>1530713.66</v>
          </cell>
          <cell r="G193">
            <v>0</v>
          </cell>
          <cell r="H193">
            <v>1145333.8999999999</v>
          </cell>
          <cell r="I193">
            <v>0</v>
          </cell>
        </row>
        <row r="199">
          <cell r="G199">
            <v>0</v>
          </cell>
        </row>
        <row r="204">
          <cell r="I204">
            <v>0</v>
          </cell>
        </row>
        <row r="205">
          <cell r="G205">
            <v>0</v>
          </cell>
        </row>
        <row r="217">
          <cell r="F217">
            <v>0</v>
          </cell>
          <cell r="G217">
            <v>0</v>
          </cell>
          <cell r="H217">
            <v>0</v>
          </cell>
          <cell r="I217">
            <v>0</v>
          </cell>
        </row>
        <row r="223">
          <cell r="F223">
            <v>0</v>
          </cell>
          <cell r="G223">
            <v>0</v>
          </cell>
          <cell r="I223">
            <v>0</v>
          </cell>
        </row>
        <row r="229">
          <cell r="F229">
            <v>0</v>
          </cell>
          <cell r="G229">
            <v>0</v>
          </cell>
          <cell r="H229">
            <v>0</v>
          </cell>
          <cell r="I229">
            <v>0</v>
          </cell>
        </row>
        <row r="235">
          <cell r="F235">
            <v>0</v>
          </cell>
          <cell r="G235">
            <v>0</v>
          </cell>
          <cell r="H235">
            <v>5000000</v>
          </cell>
          <cell r="I235">
            <v>0</v>
          </cell>
        </row>
        <row r="247">
          <cell r="F247">
            <v>4533903.09</v>
          </cell>
          <cell r="G247">
            <v>1712985.21</v>
          </cell>
          <cell r="H247">
            <v>138890.70000000001</v>
          </cell>
          <cell r="I247">
            <v>0</v>
          </cell>
        </row>
        <row r="253">
          <cell r="F253">
            <v>0</v>
          </cell>
          <cell r="G253">
            <v>0</v>
          </cell>
          <cell r="H253">
            <v>0</v>
          </cell>
          <cell r="I253">
            <v>0</v>
          </cell>
        </row>
        <row r="259">
          <cell r="F259">
            <v>1961081.15</v>
          </cell>
          <cell r="G259">
            <v>4801440.6500000004</v>
          </cell>
          <cell r="H259">
            <v>548312.57999999996</v>
          </cell>
          <cell r="I259">
            <v>0</v>
          </cell>
        </row>
        <row r="355">
          <cell r="H355">
            <v>46720420.219999999</v>
          </cell>
          <cell r="I355">
            <v>2730000</v>
          </cell>
        </row>
        <row r="409">
          <cell r="E409">
            <v>106602959.05000001</v>
          </cell>
        </row>
        <row r="417">
          <cell r="E417">
            <v>49450420.219999999</v>
          </cell>
        </row>
        <row r="424">
          <cell r="E424">
            <v>1952999007.02</v>
          </cell>
        </row>
      </sheetData>
      <sheetData sheetId="9"/>
      <sheetData sheetId="10"/>
      <sheetData sheetId="11"/>
      <sheetData sheetId="12"/>
      <sheetData sheetId="13"/>
      <sheetData sheetId="14"/>
      <sheetData sheetId="15"/>
      <sheetData sheetId="16"/>
      <sheetData sheetId="17">
        <row r="3">
          <cell r="H3">
            <v>14168085.5</v>
          </cell>
          <cell r="I3">
            <v>0</v>
          </cell>
          <cell r="J3">
            <v>14168085.5</v>
          </cell>
          <cell r="K3">
            <v>7301619.5599999996</v>
          </cell>
          <cell r="L3">
            <v>6866465.9400000004</v>
          </cell>
          <cell r="M3">
            <v>7294898.25</v>
          </cell>
        </row>
        <row r="4">
          <cell r="H4">
            <v>4278761.82</v>
          </cell>
          <cell r="I4">
            <v>0</v>
          </cell>
          <cell r="J4">
            <v>4278761.82</v>
          </cell>
          <cell r="K4">
            <v>1539354.01</v>
          </cell>
          <cell r="L4">
            <v>2739407.8100000005</v>
          </cell>
          <cell r="M4">
            <v>1539354.01</v>
          </cell>
        </row>
        <row r="5">
          <cell r="H5">
            <v>63300</v>
          </cell>
          <cell r="I5">
            <v>0</v>
          </cell>
          <cell r="J5">
            <v>63300</v>
          </cell>
          <cell r="L5">
            <v>63300</v>
          </cell>
        </row>
        <row r="6">
          <cell r="H6">
            <v>91162</v>
          </cell>
          <cell r="I6">
            <v>0</v>
          </cell>
          <cell r="J6">
            <v>91162</v>
          </cell>
          <cell r="L6">
            <v>91162</v>
          </cell>
        </row>
        <row r="7">
          <cell r="H7">
            <v>390000</v>
          </cell>
          <cell r="I7">
            <v>0</v>
          </cell>
          <cell r="J7">
            <v>390000</v>
          </cell>
          <cell r="K7">
            <v>50000</v>
          </cell>
          <cell r="L7">
            <v>340000</v>
          </cell>
          <cell r="M7">
            <v>50000</v>
          </cell>
        </row>
        <row r="8">
          <cell r="M8">
            <v>244126.07999999999</v>
          </cell>
        </row>
        <row r="9">
          <cell r="H9">
            <v>177342669</v>
          </cell>
          <cell r="I9">
            <v>0</v>
          </cell>
          <cell r="J9">
            <v>177342669</v>
          </cell>
          <cell r="K9">
            <v>95058384.170000002</v>
          </cell>
          <cell r="L9">
            <v>82284284.829999998</v>
          </cell>
          <cell r="M9">
            <v>95058384.170000002</v>
          </cell>
        </row>
        <row r="10">
          <cell r="H10">
            <v>57365198</v>
          </cell>
          <cell r="I10">
            <v>0</v>
          </cell>
          <cell r="J10">
            <v>57365198</v>
          </cell>
          <cell r="K10">
            <v>31465826.640000001</v>
          </cell>
          <cell r="L10">
            <v>25899371.359999999</v>
          </cell>
          <cell r="M10">
            <v>31465826.640000001</v>
          </cell>
        </row>
        <row r="11">
          <cell r="H11">
            <v>5947521.3099999996</v>
          </cell>
          <cell r="I11">
            <v>0</v>
          </cell>
          <cell r="J11">
            <v>5947521.3099999996</v>
          </cell>
          <cell r="K11">
            <v>4230426.46</v>
          </cell>
          <cell r="L11">
            <v>1717094.8499999996</v>
          </cell>
          <cell r="M11">
            <v>4230426.46</v>
          </cell>
        </row>
        <row r="12">
          <cell r="H12">
            <v>2129015.5499999998</v>
          </cell>
          <cell r="I12">
            <v>0</v>
          </cell>
          <cell r="J12">
            <v>2129015.5499999998</v>
          </cell>
          <cell r="K12">
            <v>1245507.82</v>
          </cell>
          <cell r="L12">
            <v>883507.72999999975</v>
          </cell>
          <cell r="M12">
            <v>1245507.82</v>
          </cell>
        </row>
        <row r="13">
          <cell r="H13">
            <v>9150616.2899999991</v>
          </cell>
          <cell r="I13">
            <v>0</v>
          </cell>
          <cell r="J13">
            <v>9150616.2899999991</v>
          </cell>
          <cell r="K13">
            <v>4616184.21</v>
          </cell>
          <cell r="L13">
            <v>4534432.0799999991</v>
          </cell>
          <cell r="M13">
            <v>4616184.21</v>
          </cell>
        </row>
        <row r="14">
          <cell r="H14">
            <v>4756050.76</v>
          </cell>
          <cell r="I14">
            <v>0</v>
          </cell>
          <cell r="J14">
            <v>4756050.76</v>
          </cell>
          <cell r="K14">
            <v>2302204</v>
          </cell>
          <cell r="L14">
            <v>2453846.7599999998</v>
          </cell>
          <cell r="M14">
            <v>2302204</v>
          </cell>
        </row>
        <row r="15">
          <cell r="H15">
            <v>323247419.30000001</v>
          </cell>
          <cell r="I15">
            <v>0</v>
          </cell>
          <cell r="J15">
            <v>323247419.30000001</v>
          </cell>
          <cell r="K15">
            <v>185110536</v>
          </cell>
          <cell r="L15">
            <v>138136883.30000001</v>
          </cell>
          <cell r="M15">
            <v>185110536</v>
          </cell>
        </row>
        <row r="16">
          <cell r="H16">
            <v>107320560.7</v>
          </cell>
          <cell r="I16">
            <v>0</v>
          </cell>
          <cell r="J16">
            <v>107320560.7</v>
          </cell>
          <cell r="K16">
            <v>60300000</v>
          </cell>
          <cell r="L16">
            <v>47020560.700000003</v>
          </cell>
          <cell r="M16">
            <v>60300000</v>
          </cell>
        </row>
        <row r="17">
          <cell r="H17">
            <v>741941.86</v>
          </cell>
          <cell r="I17">
            <v>0</v>
          </cell>
          <cell r="J17">
            <v>741941.86</v>
          </cell>
          <cell r="K17">
            <v>394916.44</v>
          </cell>
          <cell r="L17">
            <v>347025.42</v>
          </cell>
          <cell r="M17">
            <v>394916.44</v>
          </cell>
        </row>
        <row r="18">
          <cell r="H18">
            <v>385625.74</v>
          </cell>
          <cell r="I18">
            <v>0</v>
          </cell>
          <cell r="J18">
            <v>385625.74</v>
          </cell>
          <cell r="K18">
            <v>192446</v>
          </cell>
          <cell r="L18">
            <v>193179.74</v>
          </cell>
          <cell r="M18">
            <v>192446</v>
          </cell>
        </row>
        <row r="19">
          <cell r="H19">
            <v>4219001.4800000004</v>
          </cell>
          <cell r="I19">
            <v>0</v>
          </cell>
          <cell r="J19">
            <v>4219001.4800000004</v>
          </cell>
          <cell r="K19">
            <v>2233286.11</v>
          </cell>
          <cell r="L19">
            <v>1985715.3700000006</v>
          </cell>
          <cell r="M19">
            <v>2233286.11</v>
          </cell>
        </row>
        <row r="20">
          <cell r="H20">
            <v>2207124.16</v>
          </cell>
          <cell r="I20">
            <v>0</v>
          </cell>
          <cell r="J20">
            <v>2207124.16</v>
          </cell>
          <cell r="K20">
            <v>1177476</v>
          </cell>
          <cell r="L20">
            <v>1029648.1600000001</v>
          </cell>
          <cell r="M20">
            <v>1177476</v>
          </cell>
        </row>
        <row r="21">
          <cell r="H21">
            <v>1202022</v>
          </cell>
          <cell r="I21">
            <v>0</v>
          </cell>
          <cell r="J21">
            <v>1202022</v>
          </cell>
          <cell r="K21">
            <v>360000</v>
          </cell>
          <cell r="L21">
            <v>842022</v>
          </cell>
          <cell r="M21">
            <v>360000</v>
          </cell>
        </row>
        <row r="22">
          <cell r="H22">
            <v>250000</v>
          </cell>
          <cell r="I22">
            <v>0</v>
          </cell>
          <cell r="J22">
            <v>250000</v>
          </cell>
          <cell r="K22">
            <v>54000</v>
          </cell>
          <cell r="L22">
            <v>196000</v>
          </cell>
          <cell r="M22">
            <v>54000</v>
          </cell>
        </row>
        <row r="23">
          <cell r="H23">
            <v>250000</v>
          </cell>
          <cell r="I23">
            <v>0</v>
          </cell>
          <cell r="J23">
            <v>250000</v>
          </cell>
          <cell r="K23">
            <v>250000</v>
          </cell>
          <cell r="L23">
            <v>0</v>
          </cell>
          <cell r="M23">
            <v>250000</v>
          </cell>
        </row>
        <row r="24">
          <cell r="H24">
            <v>27555449</v>
          </cell>
          <cell r="I24">
            <v>0</v>
          </cell>
          <cell r="J24">
            <v>27555449</v>
          </cell>
          <cell r="K24">
            <v>15043674.24</v>
          </cell>
          <cell r="L24">
            <v>12511774.76</v>
          </cell>
          <cell r="M24">
            <v>15043674.24</v>
          </cell>
        </row>
        <row r="25">
          <cell r="H25">
            <v>68695656.609999999</v>
          </cell>
          <cell r="I25">
            <v>0</v>
          </cell>
          <cell r="J25">
            <v>68695656.609999999</v>
          </cell>
          <cell r="K25">
            <v>32720779.84</v>
          </cell>
          <cell r="L25">
            <v>35974876.769999996</v>
          </cell>
          <cell r="M25">
            <v>32720779.84</v>
          </cell>
        </row>
        <row r="26">
          <cell r="H26">
            <v>2239683.08</v>
          </cell>
          <cell r="I26">
            <v>0</v>
          </cell>
          <cell r="J26">
            <v>2239683.08</v>
          </cell>
          <cell r="K26">
            <v>342680.46</v>
          </cell>
          <cell r="L26">
            <v>1897002.62</v>
          </cell>
          <cell r="M26">
            <v>342680.46</v>
          </cell>
        </row>
        <row r="27">
          <cell r="H27">
            <v>5834318.1500000004</v>
          </cell>
          <cell r="I27">
            <v>0</v>
          </cell>
          <cell r="J27">
            <v>5834318.1500000004</v>
          </cell>
          <cell r="K27">
            <v>1577943.18</v>
          </cell>
          <cell r="L27">
            <v>4256374.9700000007</v>
          </cell>
          <cell r="M27">
            <v>1577943.18</v>
          </cell>
        </row>
        <row r="28">
          <cell r="M28">
            <v>8051933</v>
          </cell>
        </row>
        <row r="29">
          <cell r="M29">
            <v>18951756.100000001</v>
          </cell>
        </row>
        <row r="30">
          <cell r="H30">
            <v>569225.18999999994</v>
          </cell>
          <cell r="I30">
            <v>0</v>
          </cell>
          <cell r="J30">
            <v>569225.18999999994</v>
          </cell>
          <cell r="K30">
            <v>284612.59999999998</v>
          </cell>
          <cell r="L30">
            <v>284612.58999999997</v>
          </cell>
          <cell r="M30">
            <v>284612.59999999998</v>
          </cell>
        </row>
        <row r="31">
          <cell r="H31">
            <v>562464</v>
          </cell>
          <cell r="I31">
            <v>0</v>
          </cell>
          <cell r="J31">
            <v>562464</v>
          </cell>
          <cell r="K31">
            <v>367234</v>
          </cell>
          <cell r="L31">
            <v>195230</v>
          </cell>
          <cell r="M31">
            <v>367234</v>
          </cell>
        </row>
        <row r="32">
          <cell r="H32">
            <v>1273356</v>
          </cell>
          <cell r="I32">
            <v>0</v>
          </cell>
          <cell r="J32">
            <v>1273356</v>
          </cell>
          <cell r="K32">
            <v>868617.33</v>
          </cell>
          <cell r="L32">
            <v>404738.67000000004</v>
          </cell>
          <cell r="M32">
            <v>868617.33</v>
          </cell>
        </row>
        <row r="33">
          <cell r="H33">
            <v>139054794</v>
          </cell>
          <cell r="I33">
            <v>0</v>
          </cell>
          <cell r="J33">
            <v>139054794</v>
          </cell>
          <cell r="K33">
            <v>82389752</v>
          </cell>
          <cell r="L33">
            <v>56665042</v>
          </cell>
          <cell r="M33">
            <v>82389752</v>
          </cell>
        </row>
        <row r="34">
          <cell r="H34">
            <v>333639946</v>
          </cell>
          <cell r="I34">
            <v>0</v>
          </cell>
          <cell r="J34">
            <v>333639946</v>
          </cell>
          <cell r="K34">
            <v>188654656.53</v>
          </cell>
          <cell r="L34">
            <v>144985289.47</v>
          </cell>
          <cell r="M34">
            <v>188654656.53</v>
          </cell>
        </row>
        <row r="35">
          <cell r="H35">
            <v>46153.39</v>
          </cell>
          <cell r="I35">
            <v>0</v>
          </cell>
          <cell r="J35">
            <v>46153.39</v>
          </cell>
          <cell r="K35">
            <v>23076</v>
          </cell>
          <cell r="L35">
            <v>23077.39</v>
          </cell>
          <cell r="M35">
            <v>23076</v>
          </cell>
        </row>
        <row r="37">
          <cell r="H37">
            <v>9197870</v>
          </cell>
          <cell r="I37">
            <v>0</v>
          </cell>
          <cell r="J37">
            <v>9197870</v>
          </cell>
          <cell r="L37">
            <v>9197870</v>
          </cell>
        </row>
        <row r="38">
          <cell r="H38">
            <v>687360</v>
          </cell>
          <cell r="I38">
            <v>687360</v>
          </cell>
          <cell r="L38">
            <v>687360</v>
          </cell>
        </row>
        <row r="39">
          <cell r="H39">
            <v>6107095.0199999996</v>
          </cell>
          <cell r="I39">
            <v>1382647.0199999996</v>
          </cell>
          <cell r="J39">
            <v>4724448</v>
          </cell>
          <cell r="K39">
            <v>787837.4</v>
          </cell>
          <cell r="L39">
            <v>5319257.6199999992</v>
          </cell>
          <cell r="M39">
            <v>787837.4</v>
          </cell>
        </row>
        <row r="40">
          <cell r="H40">
            <v>550000</v>
          </cell>
          <cell r="I40">
            <v>0</v>
          </cell>
          <cell r="J40">
            <v>550000</v>
          </cell>
          <cell r="K40">
            <v>550000</v>
          </cell>
          <cell r="L40">
            <v>0</v>
          </cell>
          <cell r="M40">
            <v>550000</v>
          </cell>
        </row>
        <row r="41">
          <cell r="H41">
            <v>3573694.95</v>
          </cell>
          <cell r="I41">
            <v>0</v>
          </cell>
          <cell r="J41">
            <v>3573694.95</v>
          </cell>
          <cell r="L41">
            <v>3573694.95</v>
          </cell>
        </row>
        <row r="42">
          <cell r="H42">
            <v>540715.05000000005</v>
          </cell>
          <cell r="I42">
            <v>0</v>
          </cell>
          <cell r="J42">
            <v>540715.05000000005</v>
          </cell>
          <cell r="K42">
            <v>540715.05000000005</v>
          </cell>
          <cell r="L42">
            <v>0</v>
          </cell>
          <cell r="M42">
            <v>540715.05000000005</v>
          </cell>
        </row>
        <row r="43">
          <cell r="H43">
            <v>289759.05</v>
          </cell>
          <cell r="I43">
            <v>0</v>
          </cell>
          <cell r="J43">
            <v>289759.05</v>
          </cell>
          <cell r="L43">
            <v>289759.05</v>
          </cell>
        </row>
        <row r="44">
          <cell r="H44">
            <v>43841.760000000002</v>
          </cell>
          <cell r="I44">
            <v>0</v>
          </cell>
          <cell r="J44">
            <v>43841.760000000002</v>
          </cell>
          <cell r="K44">
            <v>43841.760000000002</v>
          </cell>
          <cell r="L44">
            <v>0</v>
          </cell>
          <cell r="M44">
            <v>43841.760000000002</v>
          </cell>
        </row>
        <row r="50">
          <cell r="M50">
            <v>2488163.27</v>
          </cell>
        </row>
        <row r="57">
          <cell r="H57">
            <v>60920949.210000001</v>
          </cell>
          <cell r="I57">
            <v>0</v>
          </cell>
          <cell r="J57">
            <v>60920949.210000001</v>
          </cell>
          <cell r="K57">
            <v>37104315.850000001</v>
          </cell>
          <cell r="L57">
            <v>23816633.359999999</v>
          </cell>
          <cell r="M57">
            <v>37104315.850000001</v>
          </cell>
        </row>
        <row r="58">
          <cell r="H58">
            <v>617301</v>
          </cell>
          <cell r="I58">
            <v>0</v>
          </cell>
          <cell r="J58">
            <v>617301</v>
          </cell>
          <cell r="K58">
            <v>75833.7</v>
          </cell>
          <cell r="L58">
            <v>541467.30000000005</v>
          </cell>
          <cell r="M58">
            <v>75833.7</v>
          </cell>
        </row>
        <row r="59">
          <cell r="H59">
            <v>42859059.200000003</v>
          </cell>
          <cell r="I59">
            <v>0</v>
          </cell>
          <cell r="J59">
            <v>42859059.200000003</v>
          </cell>
          <cell r="K59">
            <v>27119310.940000001</v>
          </cell>
          <cell r="L59">
            <v>15739748.260000002</v>
          </cell>
          <cell r="M59">
            <v>27119310.940000001</v>
          </cell>
        </row>
        <row r="60">
          <cell r="H60">
            <v>88292</v>
          </cell>
          <cell r="I60">
            <v>0</v>
          </cell>
          <cell r="J60">
            <v>88292</v>
          </cell>
          <cell r="K60">
            <v>74003</v>
          </cell>
          <cell r="L60">
            <v>14289</v>
          </cell>
          <cell r="M60">
            <v>74003</v>
          </cell>
        </row>
        <row r="61">
          <cell r="H61">
            <v>2312796.65</v>
          </cell>
          <cell r="I61">
            <v>0</v>
          </cell>
          <cell r="J61">
            <v>2312796.65</v>
          </cell>
          <cell r="K61">
            <v>475361.71</v>
          </cell>
          <cell r="L61">
            <v>1837434.94</v>
          </cell>
          <cell r="M61">
            <v>475361.71</v>
          </cell>
        </row>
        <row r="62">
          <cell r="H62">
            <v>1223320.02</v>
          </cell>
          <cell r="I62">
            <v>0</v>
          </cell>
          <cell r="J62">
            <v>1223320.02</v>
          </cell>
          <cell r="K62">
            <v>769879.3</v>
          </cell>
          <cell r="L62">
            <v>453440.72</v>
          </cell>
          <cell r="M62">
            <v>769879.3</v>
          </cell>
        </row>
        <row r="63">
          <cell r="H63">
            <v>19662780</v>
          </cell>
          <cell r="I63">
            <v>0</v>
          </cell>
          <cell r="J63">
            <v>19662780</v>
          </cell>
          <cell r="K63">
            <v>6248215.6699999999</v>
          </cell>
          <cell r="L63">
            <v>13414564.33</v>
          </cell>
          <cell r="M63">
            <v>6248215.6699999999</v>
          </cell>
        </row>
        <row r="64">
          <cell r="H64">
            <v>10357065.33</v>
          </cell>
          <cell r="I64">
            <v>0</v>
          </cell>
          <cell r="J64">
            <v>10357065.33</v>
          </cell>
          <cell r="K64">
            <v>5048215.47</v>
          </cell>
          <cell r="L64">
            <v>5308849.8600000003</v>
          </cell>
          <cell r="M64">
            <v>5048215.47</v>
          </cell>
        </row>
        <row r="65">
          <cell r="H65">
            <v>8653913.5299999993</v>
          </cell>
          <cell r="I65">
            <v>0</v>
          </cell>
          <cell r="J65">
            <v>8653913.5299999993</v>
          </cell>
          <cell r="K65">
            <v>4480453.25</v>
          </cell>
          <cell r="L65">
            <v>4173460.2799999993</v>
          </cell>
          <cell r="M65">
            <v>4480453.25</v>
          </cell>
        </row>
        <row r="66">
          <cell r="H66">
            <v>839762.05</v>
          </cell>
          <cell r="I66">
            <v>0</v>
          </cell>
          <cell r="J66">
            <v>839762.05</v>
          </cell>
          <cell r="K66">
            <v>427478.78</v>
          </cell>
          <cell r="L66">
            <v>412283.27</v>
          </cell>
          <cell r="M66">
            <v>427478.78</v>
          </cell>
        </row>
        <row r="67">
          <cell r="H67">
            <v>701668.66</v>
          </cell>
          <cell r="I67">
            <v>0</v>
          </cell>
          <cell r="J67">
            <v>701668.66</v>
          </cell>
          <cell r="K67">
            <v>369720.64</v>
          </cell>
          <cell r="L67">
            <v>331948.02</v>
          </cell>
          <cell r="M67">
            <v>369720.64</v>
          </cell>
        </row>
        <row r="68">
          <cell r="H68">
            <v>62421208.549999997</v>
          </cell>
          <cell r="I68">
            <v>0</v>
          </cell>
          <cell r="J68">
            <v>62421208.549999997</v>
          </cell>
          <cell r="K68">
            <v>36914536.039999999</v>
          </cell>
          <cell r="L68">
            <v>25506672.509999998</v>
          </cell>
          <cell r="M68">
            <v>36914536.039999999</v>
          </cell>
        </row>
        <row r="69">
          <cell r="H69">
            <v>48822805.18</v>
          </cell>
          <cell r="I69">
            <v>0</v>
          </cell>
          <cell r="J69">
            <v>48822805.18</v>
          </cell>
          <cell r="K69">
            <v>28074358.59</v>
          </cell>
          <cell r="L69">
            <v>20748446.59</v>
          </cell>
          <cell r="M69">
            <v>28074358.59</v>
          </cell>
        </row>
        <row r="72">
          <cell r="H72">
            <v>161800</v>
          </cell>
          <cell r="I72">
            <v>0</v>
          </cell>
          <cell r="J72">
            <v>161800</v>
          </cell>
          <cell r="K72">
            <v>57000</v>
          </cell>
          <cell r="L72">
            <v>104800</v>
          </cell>
          <cell r="M72">
            <v>50200</v>
          </cell>
        </row>
        <row r="73">
          <cell r="H73">
            <v>106120</v>
          </cell>
          <cell r="I73">
            <v>0</v>
          </cell>
          <cell r="J73">
            <v>106120</v>
          </cell>
          <cell r="K73">
            <v>10000</v>
          </cell>
          <cell r="L73">
            <v>96120</v>
          </cell>
          <cell r="M73">
            <v>10000</v>
          </cell>
        </row>
        <row r="74">
          <cell r="H74">
            <v>257100</v>
          </cell>
          <cell r="I74">
            <v>0</v>
          </cell>
          <cell r="J74">
            <v>257100</v>
          </cell>
          <cell r="K74">
            <v>66450</v>
          </cell>
          <cell r="L74">
            <v>190650</v>
          </cell>
          <cell r="M74">
            <v>66450</v>
          </cell>
        </row>
        <row r="75">
          <cell r="H75">
            <v>127040</v>
          </cell>
          <cell r="I75">
            <v>0</v>
          </cell>
          <cell r="J75">
            <v>127040</v>
          </cell>
          <cell r="K75">
            <v>8192</v>
          </cell>
          <cell r="L75">
            <v>118848</v>
          </cell>
          <cell r="M75">
            <v>6000</v>
          </cell>
        </row>
        <row r="76">
          <cell r="H76">
            <v>100000</v>
          </cell>
          <cell r="I76">
            <v>0</v>
          </cell>
          <cell r="J76">
            <v>100000</v>
          </cell>
          <cell r="K76">
            <v>45900</v>
          </cell>
          <cell r="L76">
            <v>54100</v>
          </cell>
          <cell r="M76">
            <v>45900</v>
          </cell>
        </row>
        <row r="77">
          <cell r="H77">
            <v>197650</v>
          </cell>
          <cell r="I77">
            <v>0</v>
          </cell>
          <cell r="J77">
            <v>197650</v>
          </cell>
          <cell r="K77">
            <v>31700</v>
          </cell>
          <cell r="L77">
            <v>165950</v>
          </cell>
          <cell r="M77">
            <v>31700</v>
          </cell>
        </row>
        <row r="78">
          <cell r="H78">
            <v>139940</v>
          </cell>
          <cell r="I78">
            <v>0</v>
          </cell>
          <cell r="J78">
            <v>139940</v>
          </cell>
          <cell r="K78">
            <v>21860</v>
          </cell>
          <cell r="L78">
            <v>118080</v>
          </cell>
          <cell r="M78">
            <v>21860</v>
          </cell>
        </row>
        <row r="79">
          <cell r="H79">
            <v>100680</v>
          </cell>
          <cell r="I79">
            <v>0</v>
          </cell>
          <cell r="J79">
            <v>100680</v>
          </cell>
          <cell r="K79">
            <v>8000</v>
          </cell>
          <cell r="L79">
            <v>92680</v>
          </cell>
          <cell r="M79">
            <v>8000</v>
          </cell>
        </row>
        <row r="80">
          <cell r="H80">
            <v>79900</v>
          </cell>
          <cell r="I80">
            <v>0</v>
          </cell>
          <cell r="J80">
            <v>79900</v>
          </cell>
          <cell r="K80">
            <v>6650</v>
          </cell>
          <cell r="L80">
            <v>73250</v>
          </cell>
          <cell r="M80">
            <v>6650</v>
          </cell>
        </row>
        <row r="81">
          <cell r="H81">
            <v>37545.08</v>
          </cell>
          <cell r="I81">
            <v>0</v>
          </cell>
          <cell r="J81">
            <v>37545.08</v>
          </cell>
          <cell r="K81">
            <v>16400</v>
          </cell>
          <cell r="L81">
            <v>21145.08</v>
          </cell>
          <cell r="M81">
            <v>16400</v>
          </cell>
        </row>
        <row r="82">
          <cell r="H82">
            <v>75000</v>
          </cell>
          <cell r="I82">
            <v>0</v>
          </cell>
          <cell r="J82">
            <v>75000</v>
          </cell>
          <cell r="K82">
            <v>12500</v>
          </cell>
          <cell r="L82">
            <v>62500</v>
          </cell>
          <cell r="M82">
            <v>12500</v>
          </cell>
        </row>
        <row r="89">
          <cell r="H89">
            <v>21051928.300000001</v>
          </cell>
          <cell r="I89">
            <v>0</v>
          </cell>
          <cell r="J89">
            <v>21051928.300000001</v>
          </cell>
          <cell r="K89">
            <v>10377343.77</v>
          </cell>
          <cell r="L89">
            <v>10674584.530000001</v>
          </cell>
          <cell r="M89">
            <v>10377343.77</v>
          </cell>
        </row>
        <row r="90">
          <cell r="H90">
            <v>365869</v>
          </cell>
          <cell r="I90">
            <v>0</v>
          </cell>
          <cell r="J90">
            <v>365869</v>
          </cell>
          <cell r="K90">
            <v>167944.15</v>
          </cell>
          <cell r="L90">
            <v>197924.85</v>
          </cell>
          <cell r="M90">
            <v>167944.15</v>
          </cell>
        </row>
        <row r="91">
          <cell r="H91">
            <v>30933.72</v>
          </cell>
          <cell r="I91">
            <v>0</v>
          </cell>
          <cell r="J91">
            <v>30933.72</v>
          </cell>
          <cell r="K91">
            <v>15467.24</v>
          </cell>
          <cell r="L91">
            <v>15466.480000000001</v>
          </cell>
          <cell r="M91">
            <v>15467.24</v>
          </cell>
        </row>
        <row r="92">
          <cell r="H92">
            <v>2508.14</v>
          </cell>
          <cell r="I92">
            <v>0</v>
          </cell>
          <cell r="J92">
            <v>2508.14</v>
          </cell>
          <cell r="K92">
            <v>2508.14</v>
          </cell>
          <cell r="L92">
            <v>0</v>
          </cell>
          <cell r="M92">
            <v>2508.14</v>
          </cell>
        </row>
        <row r="93">
          <cell r="H93">
            <v>14269.43</v>
          </cell>
          <cell r="I93">
            <v>0</v>
          </cell>
          <cell r="J93">
            <v>14269.43</v>
          </cell>
          <cell r="K93">
            <v>5945.36</v>
          </cell>
          <cell r="L93">
            <v>8324.07</v>
          </cell>
          <cell r="M93">
            <v>5945.36</v>
          </cell>
        </row>
        <row r="100">
          <cell r="M100">
            <v>14096623.689999999</v>
          </cell>
        </row>
        <row r="107">
          <cell r="H107">
            <v>1713600</v>
          </cell>
          <cell r="I107">
            <v>0</v>
          </cell>
          <cell r="J107">
            <v>1713600</v>
          </cell>
          <cell r="K107">
            <v>737439.98</v>
          </cell>
          <cell r="L107">
            <v>976160.02</v>
          </cell>
          <cell r="M107">
            <v>737439.98</v>
          </cell>
        </row>
        <row r="108">
          <cell r="H108">
            <v>1635100</v>
          </cell>
          <cell r="I108">
            <v>0</v>
          </cell>
          <cell r="J108">
            <v>1635100</v>
          </cell>
          <cell r="K108">
            <v>510611.42</v>
          </cell>
          <cell r="L108">
            <v>1124488.58</v>
          </cell>
          <cell r="M108">
            <v>510611.42</v>
          </cell>
        </row>
        <row r="109">
          <cell r="H109">
            <v>16897.080000000002</v>
          </cell>
          <cell r="I109">
            <v>0</v>
          </cell>
          <cell r="J109">
            <v>16897.080000000002</v>
          </cell>
          <cell r="K109">
            <v>4224.3</v>
          </cell>
          <cell r="L109">
            <v>12672.780000000002</v>
          </cell>
          <cell r="M109">
            <v>4224.3</v>
          </cell>
        </row>
        <row r="110">
          <cell r="H110">
            <v>5102.92</v>
          </cell>
          <cell r="I110">
            <v>0</v>
          </cell>
          <cell r="J110">
            <v>5102.92</v>
          </cell>
          <cell r="K110">
            <v>1275.7</v>
          </cell>
          <cell r="L110">
            <v>3827.2200000000003</v>
          </cell>
          <cell r="M110">
            <v>1275.7</v>
          </cell>
        </row>
        <row r="111">
          <cell r="H111">
            <v>305000</v>
          </cell>
          <cell r="I111">
            <v>0</v>
          </cell>
          <cell r="J111">
            <v>305000</v>
          </cell>
          <cell r="K111">
            <v>88500</v>
          </cell>
          <cell r="L111">
            <v>216500</v>
          </cell>
          <cell r="M111">
            <v>88500</v>
          </cell>
        </row>
        <row r="112">
          <cell r="H112">
            <v>85565.94</v>
          </cell>
          <cell r="I112">
            <v>0</v>
          </cell>
          <cell r="J112">
            <v>85565.94</v>
          </cell>
          <cell r="L112">
            <v>85565.94</v>
          </cell>
        </row>
        <row r="113">
          <cell r="H113">
            <v>202000</v>
          </cell>
          <cell r="I113">
            <v>0</v>
          </cell>
          <cell r="J113">
            <v>202000</v>
          </cell>
          <cell r="K113">
            <v>79285.23</v>
          </cell>
          <cell r="L113">
            <v>122714.77</v>
          </cell>
          <cell r="M113">
            <v>79285.23</v>
          </cell>
        </row>
        <row r="114">
          <cell r="H114">
            <v>230188.26</v>
          </cell>
          <cell r="I114">
            <v>0</v>
          </cell>
          <cell r="J114">
            <v>230188.26</v>
          </cell>
          <cell r="K114">
            <v>32730</v>
          </cell>
          <cell r="L114">
            <v>197458.26</v>
          </cell>
          <cell r="M114">
            <v>32730</v>
          </cell>
        </row>
        <row r="115">
          <cell r="H115">
            <v>72811.740000000005</v>
          </cell>
          <cell r="I115">
            <v>0</v>
          </cell>
          <cell r="J115">
            <v>72811.740000000005</v>
          </cell>
          <cell r="K115">
            <v>12597</v>
          </cell>
          <cell r="L115">
            <v>60214.740000000005</v>
          </cell>
          <cell r="M115">
            <v>12597</v>
          </cell>
        </row>
        <row r="116">
          <cell r="H116">
            <v>20198900</v>
          </cell>
          <cell r="I116">
            <v>0</v>
          </cell>
          <cell r="J116">
            <v>20198900</v>
          </cell>
          <cell r="K116">
            <v>8865839.3599999994</v>
          </cell>
          <cell r="L116">
            <v>11333060.640000001</v>
          </cell>
          <cell r="M116">
            <v>8858910.9600000009</v>
          </cell>
        </row>
        <row r="117">
          <cell r="H117">
            <v>972600</v>
          </cell>
          <cell r="I117">
            <v>0</v>
          </cell>
          <cell r="J117">
            <v>972600</v>
          </cell>
          <cell r="L117">
            <v>972600</v>
          </cell>
        </row>
        <row r="118">
          <cell r="H118">
            <v>16032200</v>
          </cell>
          <cell r="I118">
            <v>0</v>
          </cell>
          <cell r="J118">
            <v>16032200</v>
          </cell>
          <cell r="K118">
            <v>6018829.5899999999</v>
          </cell>
          <cell r="L118">
            <v>10013370.41</v>
          </cell>
          <cell r="M118">
            <v>6017627.0300000003</v>
          </cell>
        </row>
        <row r="119">
          <cell r="H119">
            <v>692700</v>
          </cell>
          <cell r="I119">
            <v>0</v>
          </cell>
          <cell r="J119">
            <v>692700</v>
          </cell>
          <cell r="K119">
            <v>176515.56</v>
          </cell>
          <cell r="L119">
            <v>516184.44</v>
          </cell>
          <cell r="M119">
            <v>176515.56</v>
          </cell>
        </row>
        <row r="120">
          <cell r="H120">
            <v>18527500</v>
          </cell>
          <cell r="I120">
            <v>0</v>
          </cell>
          <cell r="J120">
            <v>18527500</v>
          </cell>
          <cell r="K120">
            <v>9177760.1099999994</v>
          </cell>
          <cell r="L120">
            <v>9349739.8900000006</v>
          </cell>
          <cell r="M120">
            <v>9177760.1099999994</v>
          </cell>
        </row>
        <row r="121">
          <cell r="H121">
            <v>5037003</v>
          </cell>
          <cell r="I121">
            <v>0</v>
          </cell>
          <cell r="J121">
            <v>5037003</v>
          </cell>
          <cell r="K121">
            <v>2518606.56</v>
          </cell>
          <cell r="L121">
            <v>2518396.44</v>
          </cell>
          <cell r="M121">
            <v>2518606.56</v>
          </cell>
        </row>
        <row r="122">
          <cell r="H122">
            <v>69850</v>
          </cell>
          <cell r="I122">
            <v>0</v>
          </cell>
          <cell r="J122">
            <v>69850</v>
          </cell>
          <cell r="K122">
            <v>12700</v>
          </cell>
          <cell r="L122">
            <v>57150</v>
          </cell>
          <cell r="M122">
            <v>12700</v>
          </cell>
        </row>
        <row r="123">
          <cell r="H123">
            <v>1521174.91</v>
          </cell>
          <cell r="I123">
            <v>0</v>
          </cell>
          <cell r="J123">
            <v>1521174.91</v>
          </cell>
          <cell r="K123">
            <v>794481.04</v>
          </cell>
          <cell r="L123">
            <v>726693.86999999988</v>
          </cell>
          <cell r="M123">
            <v>794481.04</v>
          </cell>
        </row>
        <row r="124">
          <cell r="H124">
            <v>799972.09</v>
          </cell>
          <cell r="I124">
            <v>0</v>
          </cell>
          <cell r="J124">
            <v>799972.09</v>
          </cell>
          <cell r="K124">
            <v>350647.36</v>
          </cell>
          <cell r="L124">
            <v>449324.73</v>
          </cell>
          <cell r="M124">
            <v>350647.36</v>
          </cell>
        </row>
        <row r="125">
          <cell r="H125">
            <v>90000</v>
          </cell>
          <cell r="I125">
            <v>0</v>
          </cell>
          <cell r="J125">
            <v>90000</v>
          </cell>
          <cell r="K125">
            <v>28749.040000000001</v>
          </cell>
          <cell r="L125">
            <v>61250.96</v>
          </cell>
          <cell r="M125">
            <v>28749.040000000001</v>
          </cell>
        </row>
        <row r="128">
          <cell r="M128">
            <v>626879444.8299998</v>
          </cell>
        </row>
        <row r="130">
          <cell r="M130">
            <v>367652141.69999993</v>
          </cell>
        </row>
      </sheetData>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Отчет"/>
    </sheetNames>
    <sheetDataSet>
      <sheetData sheetId="0" refreshError="1"/>
      <sheetData sheetId="1">
        <row r="6">
          <cell r="I6">
            <v>40801</v>
          </cell>
        </row>
      </sheetData>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асп ГП"/>
      <sheetName val="табл.2"/>
      <sheetName val="табл.3"/>
      <sheetName val="табл.4"/>
      <sheetName val="табл.5"/>
      <sheetName val="табл.5(а)"/>
      <sheetName val="табл.7"/>
      <sheetName val="табл.5(б)"/>
      <sheetName val="табл.6"/>
      <sheetName val="табл.8 09.06.21"/>
      <sheetName val="табл.9"/>
      <sheetName val="табл.8 уточнение 2021 04.02. "/>
      <sheetName val="табл.10(а)"/>
      <sheetName val="табл.10(б)"/>
      <sheetName val="табл.10(в)"/>
      <sheetName val="РСД 93 от 15.12.21"/>
      <sheetName val="01 12 2021"/>
      <sheetName val="31 12 2021"/>
      <sheetName val="СБР для ГРБС от УФ "/>
      <sheetName val="11а. Отч мероп 01.10.21"/>
      <sheetName val="11б. Отч ОКС"/>
      <sheetName val="бюджет2022"/>
      <sheetName val="кб 2022"/>
      <sheetName val="культура 2022"/>
      <sheetName val="БЮДЖЕТ 2 чтение"/>
      <sheetName val="хэк"/>
      <sheetName val="ЦСР"/>
      <sheetName val="Документ 2022-2024"/>
      <sheetName val="01 02 2022"/>
      <sheetName val="11в. Отч пок "/>
      <sheetName val="11г Оц эф"/>
    </sheetNames>
    <sheetDataSet>
      <sheetData sheetId="0"/>
      <sheetData sheetId="1"/>
      <sheetData sheetId="2"/>
      <sheetData sheetId="3"/>
      <sheetData sheetId="4"/>
      <sheetData sheetId="5"/>
      <sheetData sheetId="6"/>
      <sheetData sheetId="7"/>
      <sheetData sheetId="8"/>
      <sheetData sheetId="9"/>
      <sheetData sheetId="10"/>
      <sheetData sheetId="11">
        <row r="8">
          <cell r="F8">
            <v>1264440499.05</v>
          </cell>
        </row>
        <row r="415">
          <cell r="F415">
            <v>14640050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
      <sheetName val="01 01 2021"/>
      <sheetName val="01 08 2021"/>
    </sheetNames>
    <sheetDataSet>
      <sheetData sheetId="0"/>
      <sheetData sheetId="1"/>
      <sheetData sheetId="2">
        <row r="129">
          <cell r="J129">
            <v>1169662647.99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12">
          <cell r="I12">
            <v>5264000</v>
          </cell>
        </row>
        <row r="52">
          <cell r="I52">
            <v>76989063.280000001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асп ГП"/>
      <sheetName val="табл.2"/>
      <sheetName val="табл.3"/>
      <sheetName val="табл.4"/>
      <sheetName val="табл.5"/>
      <sheetName val="табл.5(а)"/>
      <sheetName val="табл.7"/>
      <sheetName val="табл.5(б)"/>
      <sheetName val="табл.6"/>
      <sheetName val="табл.8 09.06.21"/>
      <sheetName val="табл.9"/>
      <sheetName val="табл.8 11.10.21"/>
      <sheetName val="табл.10(а)"/>
      <sheetName val="табл.10(б)"/>
      <sheetName val="табл.10(в)"/>
      <sheetName val="РРО 2021-2022 посл вар с усл"/>
      <sheetName val="усл.утв"/>
      <sheetName val="11а. Отч мероп 01.10.21"/>
      <sheetName val="11б. Отч ОКС"/>
      <sheetName val="01 10 2021"/>
      <sheetName val="11в. Отч пок "/>
      <sheetName val="11г Оц эф"/>
      <sheetName val="РСД 20.05.21"/>
    </sheetNames>
    <sheetDataSet>
      <sheetData sheetId="0"/>
      <sheetData sheetId="1"/>
      <sheetData sheetId="2"/>
      <sheetData sheetId="3"/>
      <sheetData sheetId="4"/>
      <sheetData sheetId="5"/>
      <sheetData sheetId="6"/>
      <sheetData sheetId="7"/>
      <sheetData sheetId="8"/>
      <sheetData sheetId="9"/>
      <sheetData sheetId="10"/>
      <sheetData sheetId="11">
        <row r="7">
          <cell r="F7">
            <v>1067184320.5900002</v>
          </cell>
          <cell r="G7">
            <v>94351100.859999999</v>
          </cell>
          <cell r="H7">
            <v>816562941.31000006</v>
          </cell>
          <cell r="I7">
            <v>134091317</v>
          </cell>
        </row>
        <row r="25">
          <cell r="F25">
            <v>430952120</v>
          </cell>
          <cell r="G25">
            <v>0</v>
          </cell>
          <cell r="H25">
            <v>0</v>
          </cell>
          <cell r="I25">
            <v>0</v>
          </cell>
        </row>
        <row r="31">
          <cell r="F31">
            <v>0</v>
          </cell>
          <cell r="G31">
            <v>0</v>
          </cell>
          <cell r="H31">
            <v>242882056.29000002</v>
          </cell>
          <cell r="I31">
            <v>64065558</v>
          </cell>
        </row>
        <row r="37">
          <cell r="F37">
            <v>505000</v>
          </cell>
          <cell r="G37">
            <v>0</v>
          </cell>
          <cell r="H37">
            <v>0</v>
          </cell>
          <cell r="I37">
            <v>0</v>
          </cell>
        </row>
        <row r="43">
          <cell r="F43">
            <v>20198900</v>
          </cell>
          <cell r="G43">
            <v>0</v>
          </cell>
          <cell r="H43">
            <v>0</v>
          </cell>
          <cell r="I43">
            <v>0</v>
          </cell>
        </row>
        <row r="49">
          <cell r="F49">
            <v>13906667.049999999</v>
          </cell>
          <cell r="G49">
            <v>0</v>
          </cell>
          <cell r="H49">
            <v>7553693.2400000002</v>
          </cell>
          <cell r="I49">
            <v>0</v>
          </cell>
        </row>
        <row r="61">
          <cell r="F61">
            <v>0</v>
          </cell>
          <cell r="G61">
            <v>0</v>
          </cell>
          <cell r="H61">
            <v>0</v>
          </cell>
          <cell r="I61">
            <v>0</v>
          </cell>
        </row>
        <row r="67">
          <cell r="F67">
            <v>0</v>
          </cell>
          <cell r="G67">
            <v>0</v>
          </cell>
          <cell r="H67">
            <v>1702022</v>
          </cell>
          <cell r="I67">
            <v>0</v>
          </cell>
        </row>
        <row r="73">
          <cell r="F73">
            <v>0</v>
          </cell>
          <cell r="G73">
            <v>0</v>
          </cell>
          <cell r="H73">
            <v>0</v>
          </cell>
          <cell r="I73">
            <v>0</v>
          </cell>
        </row>
        <row r="91">
          <cell r="F91">
            <v>474670500</v>
          </cell>
          <cell r="G91">
            <v>40388040</v>
          </cell>
          <cell r="H91">
            <v>0</v>
          </cell>
          <cell r="I91">
            <v>0</v>
          </cell>
        </row>
        <row r="97">
          <cell r="F97">
            <v>1713600</v>
          </cell>
          <cell r="G97">
            <v>0</v>
          </cell>
          <cell r="H97">
            <v>104377556.84</v>
          </cell>
          <cell r="I97">
            <v>1850000</v>
          </cell>
        </row>
        <row r="103">
          <cell r="F103">
            <v>569225.18999999994</v>
          </cell>
          <cell r="G103">
            <v>0</v>
          </cell>
          <cell r="H103">
            <v>46153.39</v>
          </cell>
          <cell r="I103">
            <v>0</v>
          </cell>
        </row>
        <row r="115">
          <cell r="F115">
            <v>0</v>
          </cell>
          <cell r="G115">
            <v>0</v>
          </cell>
          <cell r="H115">
            <v>0</v>
          </cell>
          <cell r="I115">
            <v>0</v>
          </cell>
        </row>
        <row r="121">
          <cell r="F121">
            <v>13312280</v>
          </cell>
          <cell r="G121">
            <v>22518700</v>
          </cell>
          <cell r="H121">
            <v>9178055.8299999982</v>
          </cell>
          <cell r="I121">
            <v>0</v>
          </cell>
        </row>
        <row r="127">
          <cell r="F127">
            <v>0</v>
          </cell>
          <cell r="G127">
            <v>0</v>
          </cell>
          <cell r="H127">
            <v>0</v>
          </cell>
          <cell r="I127">
            <v>0</v>
          </cell>
        </row>
        <row r="145">
          <cell r="F145">
            <v>0</v>
          </cell>
          <cell r="G145">
            <v>0</v>
          </cell>
          <cell r="H145">
            <v>108947498.08</v>
          </cell>
          <cell r="I145">
            <v>23284579</v>
          </cell>
        </row>
        <row r="151">
          <cell r="F151">
            <v>12550093.120000001</v>
          </cell>
          <cell r="G151">
            <v>0</v>
          </cell>
          <cell r="H151">
            <v>8249250.290000001</v>
          </cell>
          <cell r="I151">
            <v>0</v>
          </cell>
        </row>
        <row r="157">
          <cell r="F157">
            <v>6460885.7400000002</v>
          </cell>
          <cell r="G157">
            <v>0</v>
          </cell>
          <cell r="H157">
            <v>104536194.15000001</v>
          </cell>
          <cell r="I157">
            <v>0</v>
          </cell>
        </row>
        <row r="163">
          <cell r="F163">
            <v>0</v>
          </cell>
          <cell r="G163">
            <v>0</v>
          </cell>
          <cell r="H163">
            <v>17827072</v>
          </cell>
          <cell r="I163">
            <v>0</v>
          </cell>
        </row>
        <row r="169">
          <cell r="F169">
            <v>0</v>
          </cell>
          <cell r="G169">
            <v>0</v>
          </cell>
          <cell r="H169">
            <v>290583</v>
          </cell>
          <cell r="I169">
            <v>0</v>
          </cell>
        </row>
        <row r="181">
          <cell r="F181">
            <v>0</v>
          </cell>
          <cell r="G181">
            <v>0</v>
          </cell>
          <cell r="H181">
            <v>25310444.210000001</v>
          </cell>
          <cell r="I181">
            <v>3492710</v>
          </cell>
        </row>
        <row r="187">
          <cell r="F187">
            <v>2332592.79</v>
          </cell>
          <cell r="G187">
            <v>0</v>
          </cell>
          <cell r="H187">
            <v>54094530.020000003</v>
          </cell>
          <cell r="I187">
            <v>0</v>
          </cell>
        </row>
        <row r="193">
          <cell r="F193">
            <v>1530713.66</v>
          </cell>
          <cell r="G193">
            <v>0</v>
          </cell>
          <cell r="H193">
            <v>1145333.8999999999</v>
          </cell>
          <cell r="I193">
            <v>0</v>
          </cell>
        </row>
        <row r="199">
          <cell r="F199">
            <v>0</v>
          </cell>
          <cell r="G199">
            <v>0</v>
          </cell>
          <cell r="H199">
            <v>0</v>
          </cell>
          <cell r="I199">
            <v>0</v>
          </cell>
        </row>
        <row r="204">
          <cell r="I204">
            <v>0</v>
          </cell>
        </row>
        <row r="205">
          <cell r="F205">
            <v>0</v>
          </cell>
          <cell r="G205">
            <v>0</v>
          </cell>
          <cell r="H205">
            <v>0</v>
          </cell>
        </row>
        <row r="217">
          <cell r="F217">
            <v>0</v>
          </cell>
          <cell r="G217">
            <v>0</v>
          </cell>
          <cell r="H217">
            <v>0</v>
          </cell>
          <cell r="I217">
            <v>0</v>
          </cell>
        </row>
        <row r="223">
          <cell r="F223">
            <v>0</v>
          </cell>
          <cell r="G223">
            <v>0</v>
          </cell>
          <cell r="H223">
            <v>0</v>
          </cell>
          <cell r="I223">
            <v>0</v>
          </cell>
        </row>
        <row r="229">
          <cell r="F229">
            <v>0</v>
          </cell>
          <cell r="G229">
            <v>0</v>
          </cell>
          <cell r="H229">
            <v>0</v>
          </cell>
          <cell r="I229">
            <v>0</v>
          </cell>
        </row>
        <row r="235">
          <cell r="F235">
            <v>0</v>
          </cell>
          <cell r="G235">
            <v>0</v>
          </cell>
          <cell r="H235">
            <v>5000000</v>
          </cell>
          <cell r="I235">
            <v>0</v>
          </cell>
        </row>
        <row r="247">
          <cell r="F247">
            <v>4533960</v>
          </cell>
          <cell r="G247">
            <v>1712985.21</v>
          </cell>
          <cell r="H247">
            <v>138911.79</v>
          </cell>
          <cell r="I247">
            <v>0</v>
          </cell>
        </row>
        <row r="253">
          <cell r="F253">
            <v>0</v>
          </cell>
          <cell r="G253">
            <v>0</v>
          </cell>
          <cell r="H253">
            <v>0</v>
          </cell>
          <cell r="I253">
            <v>0</v>
          </cell>
        </row>
        <row r="259">
          <cell r="F259">
            <v>1961081.15</v>
          </cell>
          <cell r="G259">
            <v>4801440.6500000004</v>
          </cell>
          <cell r="H259">
            <v>548312.57999999996</v>
          </cell>
          <cell r="I259">
            <v>0</v>
          </cell>
        </row>
        <row r="277">
          <cell r="F277">
            <v>0</v>
          </cell>
          <cell r="G277">
            <v>0</v>
          </cell>
          <cell r="H277">
            <v>19028854.399999999</v>
          </cell>
          <cell r="I277">
            <v>0</v>
          </cell>
        </row>
        <row r="289">
          <cell r="F289">
            <v>7518000</v>
          </cell>
          <cell r="G289">
            <v>0</v>
          </cell>
          <cell r="H289">
            <v>0</v>
          </cell>
          <cell r="I289">
            <v>0</v>
          </cell>
        </row>
        <row r="295">
          <cell r="F295">
            <v>85565.94</v>
          </cell>
          <cell r="G295">
            <v>0</v>
          </cell>
          <cell r="H295">
            <v>0</v>
          </cell>
          <cell r="I295">
            <v>0</v>
          </cell>
        </row>
        <row r="301">
          <cell r="F301">
            <v>1657100</v>
          </cell>
          <cell r="G301">
            <v>0</v>
          </cell>
          <cell r="H301">
            <v>0</v>
          </cell>
          <cell r="I301">
            <v>0</v>
          </cell>
        </row>
        <row r="307">
          <cell r="F307">
            <v>305000</v>
          </cell>
          <cell r="G307">
            <v>0</v>
          </cell>
          <cell r="H307">
            <v>0</v>
          </cell>
          <cell r="I307">
            <v>0</v>
          </cell>
        </row>
        <row r="313">
          <cell r="F313">
            <v>692700</v>
          </cell>
          <cell r="G313">
            <v>0</v>
          </cell>
          <cell r="H313">
            <v>0</v>
          </cell>
          <cell r="I313">
            <v>0</v>
          </cell>
        </row>
        <row r="319">
          <cell r="F319">
            <v>35532300</v>
          </cell>
          <cell r="G319">
            <v>0</v>
          </cell>
          <cell r="H319">
            <v>0</v>
          </cell>
          <cell r="I319">
            <v>0</v>
          </cell>
        </row>
        <row r="337">
          <cell r="F337">
            <v>0</v>
          </cell>
          <cell r="G337">
            <v>0</v>
          </cell>
          <cell r="H337">
            <v>21492797.300000001</v>
          </cell>
          <cell r="I337">
            <v>150000</v>
          </cell>
        </row>
        <row r="343">
          <cell r="F343">
            <v>30933.72</v>
          </cell>
          <cell r="G343">
            <v>0</v>
          </cell>
          <cell r="H343">
            <v>16777.57</v>
          </cell>
          <cell r="I343">
            <v>0</v>
          </cell>
        </row>
        <row r="355">
          <cell r="F355">
            <v>0</v>
          </cell>
          <cell r="G355">
            <v>0</v>
          </cell>
          <cell r="H355">
            <v>50084449.350000001</v>
          </cell>
          <cell r="I355">
            <v>2730000</v>
          </cell>
        </row>
        <row r="367">
          <cell r="F367">
            <v>1975500</v>
          </cell>
          <cell r="G367">
            <v>0</v>
          </cell>
          <cell r="H367">
            <v>4450063.1000000006</v>
          </cell>
          <cell r="I367">
            <v>0</v>
          </cell>
        </row>
        <row r="373">
          <cell r="F373">
            <v>15165700</v>
          </cell>
          <cell r="G373">
            <v>0</v>
          </cell>
          <cell r="H373">
            <v>0</v>
          </cell>
          <cell r="I373">
            <v>0</v>
          </cell>
        </row>
        <row r="379">
          <cell r="F379">
            <v>0</v>
          </cell>
          <cell r="G379">
            <v>0</v>
          </cell>
          <cell r="H379">
            <v>19446485.079999998</v>
          </cell>
          <cell r="I379">
            <v>34200000</v>
          </cell>
        </row>
        <row r="385">
          <cell r="F385">
            <v>1122952.23</v>
          </cell>
          <cell r="G385">
            <v>0</v>
          </cell>
          <cell r="H385">
            <v>2328081.9000000004</v>
          </cell>
          <cell r="I385">
            <v>0</v>
          </cell>
        </row>
        <row r="391">
          <cell r="F391">
            <v>14640050</v>
          </cell>
          <cell r="G391">
            <v>24929935</v>
          </cell>
          <cell r="H391">
            <v>807550.88</v>
          </cell>
          <cell r="I391">
            <v>0</v>
          </cell>
        </row>
        <row r="403">
          <cell r="F403">
            <v>3260900</v>
          </cell>
          <cell r="G403">
            <v>0</v>
          </cell>
          <cell r="H403">
            <v>7080214.1200000001</v>
          </cell>
          <cell r="I403">
            <v>4318470</v>
          </cell>
        </row>
        <row r="409">
          <cell r="E409">
            <v>106603015.96000001</v>
          </cell>
        </row>
        <row r="417">
          <cell r="E417">
            <v>52814449.350000001</v>
          </cell>
        </row>
        <row r="424">
          <cell r="E424">
            <v>1952772214.4500003</v>
          </cell>
        </row>
      </sheetData>
      <sheetData sheetId="12"/>
      <sheetData sheetId="13"/>
      <sheetData sheetId="14"/>
      <sheetData sheetId="15"/>
      <sheetData sheetId="16"/>
      <sheetData sheetId="17"/>
      <sheetData sheetId="18"/>
      <sheetData sheetId="19">
        <row r="3">
          <cell r="H3">
            <v>14168085.5</v>
          </cell>
          <cell r="I3">
            <v>0</v>
          </cell>
          <cell r="J3">
            <v>14168085.5</v>
          </cell>
          <cell r="K3">
            <v>10309677.619999999</v>
          </cell>
          <cell r="L3">
            <v>3858407.8800000008</v>
          </cell>
          <cell r="M3">
            <v>10275219.060000001</v>
          </cell>
        </row>
        <row r="4">
          <cell r="H4">
            <v>4278761.82</v>
          </cell>
          <cell r="I4">
            <v>0</v>
          </cell>
          <cell r="J4">
            <v>4278761.82</v>
          </cell>
          <cell r="K4">
            <v>3070819.51</v>
          </cell>
          <cell r="L4">
            <v>1207942.3100000005</v>
          </cell>
          <cell r="M4">
            <v>3070819.5</v>
          </cell>
        </row>
        <row r="5">
          <cell r="H5">
            <v>63300</v>
          </cell>
          <cell r="I5">
            <v>0</v>
          </cell>
          <cell r="J5">
            <v>63300</v>
          </cell>
          <cell r="L5">
            <v>63300</v>
          </cell>
        </row>
        <row r="6">
          <cell r="H6">
            <v>91162</v>
          </cell>
          <cell r="I6">
            <v>0</v>
          </cell>
          <cell r="J6">
            <v>91162</v>
          </cell>
          <cell r="L6">
            <v>91162</v>
          </cell>
        </row>
        <row r="7">
          <cell r="H7">
            <v>390000</v>
          </cell>
          <cell r="I7">
            <v>0</v>
          </cell>
          <cell r="J7">
            <v>390000</v>
          </cell>
          <cell r="K7">
            <v>211154.14</v>
          </cell>
          <cell r="L7">
            <v>178845.86</v>
          </cell>
          <cell r="M7">
            <v>211154.14</v>
          </cell>
        </row>
        <row r="8">
          <cell r="M8">
            <v>401345.58</v>
          </cell>
        </row>
        <row r="9">
          <cell r="H9">
            <v>177172401.43000001</v>
          </cell>
          <cell r="I9">
            <v>0</v>
          </cell>
          <cell r="J9">
            <v>177172401.43000001</v>
          </cell>
          <cell r="K9">
            <v>126757866.98</v>
          </cell>
          <cell r="L9">
            <v>50414534.450000003</v>
          </cell>
          <cell r="M9">
            <v>126757866.98</v>
          </cell>
        </row>
        <row r="10">
          <cell r="H10">
            <v>57365198</v>
          </cell>
          <cell r="I10">
            <v>0</v>
          </cell>
          <cell r="J10">
            <v>57365198</v>
          </cell>
          <cell r="K10">
            <v>42847559</v>
          </cell>
          <cell r="L10">
            <v>14517639</v>
          </cell>
          <cell r="M10">
            <v>42847559</v>
          </cell>
        </row>
        <row r="11">
          <cell r="H11">
            <v>5947521.3099999996</v>
          </cell>
          <cell r="I11">
            <v>0</v>
          </cell>
          <cell r="J11">
            <v>5947521.3099999996</v>
          </cell>
          <cell r="K11">
            <v>5681766.1600000001</v>
          </cell>
          <cell r="L11">
            <v>265755.14999999944</v>
          </cell>
          <cell r="M11">
            <v>5681766.1600000001</v>
          </cell>
        </row>
        <row r="12">
          <cell r="H12">
            <v>2129015.5499999998</v>
          </cell>
          <cell r="I12">
            <v>0</v>
          </cell>
          <cell r="J12">
            <v>2129015.5499999998</v>
          </cell>
          <cell r="K12">
            <v>1850281.58</v>
          </cell>
          <cell r="L12">
            <v>278733.96999999974</v>
          </cell>
          <cell r="M12">
            <v>1850281.58</v>
          </cell>
        </row>
        <row r="13">
          <cell r="H13">
            <v>9150616.2899999991</v>
          </cell>
          <cell r="I13">
            <v>0</v>
          </cell>
          <cell r="J13">
            <v>9150616.2899999991</v>
          </cell>
          <cell r="K13">
            <v>6720351.79</v>
          </cell>
          <cell r="L13">
            <v>2430264.4999999991</v>
          </cell>
          <cell r="M13">
            <v>6720351.79</v>
          </cell>
        </row>
        <row r="14">
          <cell r="H14">
            <v>4756050.76</v>
          </cell>
          <cell r="I14">
            <v>0</v>
          </cell>
          <cell r="J14">
            <v>4756050.76</v>
          </cell>
          <cell r="K14">
            <v>3765164.25</v>
          </cell>
          <cell r="L14">
            <v>990886.50999999978</v>
          </cell>
          <cell r="M14">
            <v>3765164.25</v>
          </cell>
        </row>
        <row r="15">
          <cell r="H15">
            <v>323247419.30000001</v>
          </cell>
          <cell r="I15">
            <v>0</v>
          </cell>
          <cell r="J15">
            <v>323247419.30000001</v>
          </cell>
          <cell r="K15">
            <v>234242614.69999999</v>
          </cell>
          <cell r="L15">
            <v>89004804.600000024</v>
          </cell>
          <cell r="M15">
            <v>234242614.69999999</v>
          </cell>
        </row>
        <row r="16">
          <cell r="H16">
            <v>107320560.7</v>
          </cell>
          <cell r="I16">
            <v>0</v>
          </cell>
          <cell r="J16">
            <v>107320560.7</v>
          </cell>
          <cell r="K16">
            <v>80140000</v>
          </cell>
          <cell r="L16">
            <v>27180560.700000003</v>
          </cell>
          <cell r="M16">
            <v>80140000</v>
          </cell>
        </row>
        <row r="17">
          <cell r="H17">
            <v>741941.86</v>
          </cell>
          <cell r="I17">
            <v>0</v>
          </cell>
          <cell r="J17">
            <v>741941.86</v>
          </cell>
          <cell r="K17">
            <v>563330.43999999994</v>
          </cell>
          <cell r="L17">
            <v>178611.42000000004</v>
          </cell>
          <cell r="M17">
            <v>563330.43999999994</v>
          </cell>
        </row>
        <row r="18">
          <cell r="H18">
            <v>385625.74</v>
          </cell>
          <cell r="I18">
            <v>0</v>
          </cell>
          <cell r="J18">
            <v>385625.74</v>
          </cell>
          <cell r="K18">
            <v>277169</v>
          </cell>
          <cell r="L18">
            <v>108456.73999999999</v>
          </cell>
          <cell r="M18">
            <v>277169</v>
          </cell>
        </row>
        <row r="19">
          <cell r="H19">
            <v>4219001.4800000004</v>
          </cell>
          <cell r="I19">
            <v>0</v>
          </cell>
          <cell r="J19">
            <v>4219001.4800000004</v>
          </cell>
          <cell r="K19">
            <v>3186977.11</v>
          </cell>
          <cell r="L19">
            <v>1032024.3700000006</v>
          </cell>
          <cell r="M19">
            <v>3186977.11</v>
          </cell>
        </row>
        <row r="20">
          <cell r="H20">
            <v>2207124.16</v>
          </cell>
          <cell r="I20">
            <v>0</v>
          </cell>
          <cell r="J20">
            <v>2207124.16</v>
          </cell>
          <cell r="K20">
            <v>1642214</v>
          </cell>
          <cell r="L20">
            <v>564910.16000000015</v>
          </cell>
          <cell r="M20">
            <v>1642214</v>
          </cell>
        </row>
        <row r="21">
          <cell r="H21">
            <v>1202022</v>
          </cell>
          <cell r="I21">
            <v>0</v>
          </cell>
          <cell r="J21">
            <v>1202022</v>
          </cell>
          <cell r="K21">
            <v>1198000</v>
          </cell>
          <cell r="L21">
            <v>4022</v>
          </cell>
          <cell r="M21">
            <v>1198000</v>
          </cell>
        </row>
        <row r="22">
          <cell r="H22">
            <v>250000</v>
          </cell>
          <cell r="I22">
            <v>0</v>
          </cell>
          <cell r="J22">
            <v>250000</v>
          </cell>
          <cell r="K22">
            <v>250000</v>
          </cell>
          <cell r="L22">
            <v>0</v>
          </cell>
          <cell r="M22">
            <v>250000</v>
          </cell>
        </row>
        <row r="23">
          <cell r="H23">
            <v>250000</v>
          </cell>
          <cell r="I23">
            <v>0</v>
          </cell>
          <cell r="J23">
            <v>250000</v>
          </cell>
          <cell r="K23">
            <v>250000</v>
          </cell>
          <cell r="L23">
            <v>0</v>
          </cell>
          <cell r="M23">
            <v>250000</v>
          </cell>
        </row>
        <row r="24">
          <cell r="H24">
            <v>27555449</v>
          </cell>
          <cell r="I24">
            <v>0</v>
          </cell>
          <cell r="J24">
            <v>27555449</v>
          </cell>
          <cell r="K24">
            <v>19618166.239999998</v>
          </cell>
          <cell r="L24">
            <v>7937282.7600000016</v>
          </cell>
          <cell r="M24">
            <v>19618166.239999998</v>
          </cell>
        </row>
        <row r="25">
          <cell r="H25">
            <v>68380456.609999999</v>
          </cell>
          <cell r="I25">
            <v>0</v>
          </cell>
          <cell r="J25">
            <v>68380456.609999999</v>
          </cell>
          <cell r="K25">
            <v>47962886</v>
          </cell>
          <cell r="L25">
            <v>20417570.609999999</v>
          </cell>
          <cell r="M25">
            <v>47962886</v>
          </cell>
        </row>
        <row r="26">
          <cell r="H26">
            <v>2239683.08</v>
          </cell>
          <cell r="I26">
            <v>0</v>
          </cell>
          <cell r="J26">
            <v>2239683.08</v>
          </cell>
          <cell r="K26">
            <v>651649.31000000006</v>
          </cell>
          <cell r="L26">
            <v>1588033.77</v>
          </cell>
          <cell r="M26">
            <v>651649.31000000006</v>
          </cell>
        </row>
        <row r="27">
          <cell r="H27">
            <v>5834318.1500000004</v>
          </cell>
          <cell r="I27">
            <v>0</v>
          </cell>
          <cell r="J27">
            <v>5834318.1500000004</v>
          </cell>
          <cell r="K27">
            <v>3798811.59</v>
          </cell>
          <cell r="L27">
            <v>2035506.5600000005</v>
          </cell>
          <cell r="M27">
            <v>3798811.59</v>
          </cell>
        </row>
        <row r="29">
          <cell r="M29">
            <v>9244871</v>
          </cell>
        </row>
        <row r="30">
          <cell r="H30">
            <v>28013832</v>
          </cell>
          <cell r="I30">
            <v>0</v>
          </cell>
          <cell r="J30">
            <v>28013832</v>
          </cell>
          <cell r="K30">
            <v>21315210.100000001</v>
          </cell>
          <cell r="L30">
            <v>6698621.8999999985</v>
          </cell>
          <cell r="M30">
            <v>21315210.100000001</v>
          </cell>
        </row>
        <row r="31">
          <cell r="H31">
            <v>569225.18999999994</v>
          </cell>
          <cell r="I31">
            <v>0</v>
          </cell>
          <cell r="J31">
            <v>569225.18999999994</v>
          </cell>
          <cell r="K31">
            <v>426918.89</v>
          </cell>
          <cell r="L31">
            <v>142306.29999999993</v>
          </cell>
          <cell r="M31">
            <v>426918.89</v>
          </cell>
        </row>
        <row r="32">
          <cell r="H32">
            <v>562464</v>
          </cell>
          <cell r="I32">
            <v>0</v>
          </cell>
          <cell r="J32">
            <v>562464</v>
          </cell>
          <cell r="K32">
            <v>421657</v>
          </cell>
          <cell r="L32">
            <v>140807</v>
          </cell>
          <cell r="M32">
            <v>421657</v>
          </cell>
        </row>
        <row r="33">
          <cell r="H33">
            <v>1273356</v>
          </cell>
          <cell r="I33">
            <v>0</v>
          </cell>
          <cell r="J33">
            <v>1273356</v>
          </cell>
          <cell r="K33">
            <v>980596.31</v>
          </cell>
          <cell r="L33">
            <v>292759.68999999994</v>
          </cell>
          <cell r="M33">
            <v>980596.31</v>
          </cell>
        </row>
        <row r="34">
          <cell r="H34">
            <v>139054794</v>
          </cell>
          <cell r="I34">
            <v>0</v>
          </cell>
          <cell r="J34">
            <v>139054794</v>
          </cell>
          <cell r="K34">
            <v>107650293</v>
          </cell>
          <cell r="L34">
            <v>31404501</v>
          </cell>
          <cell r="M34">
            <v>107650293</v>
          </cell>
        </row>
        <row r="35">
          <cell r="H35">
            <v>333639946</v>
          </cell>
          <cell r="I35">
            <v>0</v>
          </cell>
          <cell r="J35">
            <v>333639946</v>
          </cell>
          <cell r="K35">
            <v>244736192.03</v>
          </cell>
          <cell r="L35">
            <v>88903753.969999999</v>
          </cell>
          <cell r="M35">
            <v>244736192.03</v>
          </cell>
        </row>
        <row r="36">
          <cell r="M36">
            <v>34614</v>
          </cell>
        </row>
        <row r="37">
          <cell r="H37">
            <v>22518700</v>
          </cell>
          <cell r="I37">
            <v>0</v>
          </cell>
          <cell r="J37">
            <v>22518700</v>
          </cell>
          <cell r="K37">
            <v>22377195.699999999</v>
          </cell>
          <cell r="L37">
            <v>141504.30000000075</v>
          </cell>
          <cell r="M37">
            <v>22377195.699999999</v>
          </cell>
        </row>
        <row r="38">
          <cell r="H38">
            <v>9197870</v>
          </cell>
          <cell r="I38">
            <v>0</v>
          </cell>
          <cell r="J38">
            <v>9197870</v>
          </cell>
          <cell r="K38">
            <v>9139981.3499999996</v>
          </cell>
          <cell r="L38">
            <v>57888.650000000373</v>
          </cell>
          <cell r="M38">
            <v>9139981.3499999996</v>
          </cell>
        </row>
        <row r="39">
          <cell r="H39">
            <v>0</v>
          </cell>
          <cell r="I39">
            <v>0</v>
          </cell>
          <cell r="L39">
            <v>0</v>
          </cell>
        </row>
        <row r="40">
          <cell r="H40">
            <v>687360</v>
          </cell>
          <cell r="I40">
            <v>0</v>
          </cell>
          <cell r="J40">
            <v>687360</v>
          </cell>
          <cell r="K40">
            <v>0</v>
          </cell>
          <cell r="L40">
            <v>687360</v>
          </cell>
        </row>
        <row r="41">
          <cell r="H41">
            <v>6386195.0199999996</v>
          </cell>
          <cell r="I41">
            <v>161747.01999999955</v>
          </cell>
          <cell r="J41">
            <v>6224448</v>
          </cell>
          <cell r="K41">
            <v>6224448</v>
          </cell>
          <cell r="L41">
            <v>161747.01999999955</v>
          </cell>
          <cell r="M41">
            <v>6224448</v>
          </cell>
        </row>
        <row r="42">
          <cell r="H42">
            <v>1770900</v>
          </cell>
          <cell r="I42">
            <v>0</v>
          </cell>
          <cell r="J42">
            <v>1770900</v>
          </cell>
          <cell r="K42">
            <v>615600</v>
          </cell>
          <cell r="L42">
            <v>1155300</v>
          </cell>
          <cell r="M42">
            <v>615600</v>
          </cell>
        </row>
        <row r="43">
          <cell r="H43">
            <v>3573694.95</v>
          </cell>
          <cell r="I43">
            <v>0</v>
          </cell>
          <cell r="J43">
            <v>3573694.95</v>
          </cell>
          <cell r="K43">
            <v>3573694.95</v>
          </cell>
          <cell r="L43">
            <v>0</v>
          </cell>
          <cell r="M43">
            <v>3573694.95</v>
          </cell>
        </row>
        <row r="44">
          <cell r="H44">
            <v>540715.05000000005</v>
          </cell>
          <cell r="I44">
            <v>0</v>
          </cell>
          <cell r="J44">
            <v>540715.05000000005</v>
          </cell>
          <cell r="K44">
            <v>540715.05000000005</v>
          </cell>
          <cell r="L44">
            <v>0</v>
          </cell>
          <cell r="M44">
            <v>540715.05000000005</v>
          </cell>
        </row>
        <row r="45">
          <cell r="M45">
            <v>289759.05</v>
          </cell>
        </row>
        <row r="46">
          <cell r="M46">
            <v>43841.760000000002</v>
          </cell>
        </row>
        <row r="47">
          <cell r="M47">
            <v>331592</v>
          </cell>
        </row>
        <row r="48">
          <cell r="M48">
            <v>200000</v>
          </cell>
        </row>
        <row r="49">
          <cell r="M49">
            <v>219117.2</v>
          </cell>
        </row>
        <row r="50">
          <cell r="M50">
            <v>211000</v>
          </cell>
        </row>
        <row r="51">
          <cell r="M51">
            <v>547000</v>
          </cell>
        </row>
        <row r="52">
          <cell r="M52">
            <v>3149684.45</v>
          </cell>
        </row>
        <row r="54">
          <cell r="M54">
            <v>64279.27</v>
          </cell>
        </row>
        <row r="55">
          <cell r="M55">
            <v>540000</v>
          </cell>
        </row>
        <row r="56">
          <cell r="M56">
            <v>0</v>
          </cell>
        </row>
        <row r="57">
          <cell r="H57">
            <v>10531.76</v>
          </cell>
          <cell r="I57">
            <v>0</v>
          </cell>
          <cell r="J57">
            <v>10531.76</v>
          </cell>
          <cell r="L57">
            <v>10531.76</v>
          </cell>
        </row>
        <row r="58">
          <cell r="H58">
            <v>531450.4</v>
          </cell>
          <cell r="I58">
            <v>0</v>
          </cell>
          <cell r="J58">
            <v>531450.4</v>
          </cell>
          <cell r="K58">
            <v>340000</v>
          </cell>
          <cell r="L58">
            <v>191450.40000000002</v>
          </cell>
          <cell r="M58">
            <v>340000</v>
          </cell>
        </row>
        <row r="59">
          <cell r="H59">
            <v>61536149.210000001</v>
          </cell>
          <cell r="I59">
            <v>0</v>
          </cell>
          <cell r="J59">
            <v>61536149.210000001</v>
          </cell>
          <cell r="K59">
            <v>49032025.579999998</v>
          </cell>
          <cell r="L59">
            <v>12504123.630000003</v>
          </cell>
          <cell r="M59">
            <v>49032025.579999998</v>
          </cell>
        </row>
        <row r="60">
          <cell r="H60">
            <v>617301</v>
          </cell>
          <cell r="I60">
            <v>0</v>
          </cell>
          <cell r="J60">
            <v>617301</v>
          </cell>
          <cell r="K60">
            <v>75833.7</v>
          </cell>
          <cell r="L60">
            <v>541467.30000000005</v>
          </cell>
          <cell r="M60">
            <v>75833.7</v>
          </cell>
        </row>
        <row r="61">
          <cell r="H61">
            <v>43059059.200000003</v>
          </cell>
          <cell r="I61">
            <v>0</v>
          </cell>
          <cell r="J61">
            <v>43059059.200000003</v>
          </cell>
          <cell r="K61">
            <v>36336914.229999997</v>
          </cell>
          <cell r="L61">
            <v>6722144.9700000063</v>
          </cell>
          <cell r="M61">
            <v>36336914.229999997</v>
          </cell>
        </row>
        <row r="62">
          <cell r="H62">
            <v>88292</v>
          </cell>
          <cell r="I62">
            <v>0</v>
          </cell>
          <cell r="J62">
            <v>88292</v>
          </cell>
          <cell r="K62">
            <v>74003</v>
          </cell>
          <cell r="L62">
            <v>14289</v>
          </cell>
          <cell r="M62">
            <v>74003</v>
          </cell>
        </row>
        <row r="63">
          <cell r="H63">
            <v>2242796.65</v>
          </cell>
          <cell r="I63">
            <v>0</v>
          </cell>
          <cell r="J63">
            <v>2242796.65</v>
          </cell>
          <cell r="K63">
            <v>1472608.3</v>
          </cell>
          <cell r="L63">
            <v>770188.34999999986</v>
          </cell>
          <cell r="M63">
            <v>1472608.3</v>
          </cell>
        </row>
        <row r="64">
          <cell r="H64">
            <v>1223320.02</v>
          </cell>
          <cell r="I64">
            <v>0</v>
          </cell>
          <cell r="J64">
            <v>1223320.02</v>
          </cell>
          <cell r="K64">
            <v>1223320.02</v>
          </cell>
          <cell r="L64">
            <v>0</v>
          </cell>
          <cell r="M64">
            <v>1223320.02</v>
          </cell>
        </row>
        <row r="65">
          <cell r="H65">
            <v>18117655</v>
          </cell>
          <cell r="I65">
            <v>0</v>
          </cell>
          <cell r="J65">
            <v>18117655</v>
          </cell>
          <cell r="K65">
            <v>7767288.1200000001</v>
          </cell>
          <cell r="L65">
            <v>10350366.879999999</v>
          </cell>
          <cell r="M65">
            <v>7767288.1200000001</v>
          </cell>
        </row>
        <row r="66">
          <cell r="H66">
            <v>10357065.33</v>
          </cell>
          <cell r="I66">
            <v>0</v>
          </cell>
          <cell r="J66">
            <v>10357065.33</v>
          </cell>
          <cell r="K66">
            <v>7712757.1900000004</v>
          </cell>
          <cell r="L66">
            <v>2644308.1399999997</v>
          </cell>
          <cell r="M66">
            <v>7712757.1900000004</v>
          </cell>
        </row>
        <row r="67">
          <cell r="H67">
            <v>8653913.5299999993</v>
          </cell>
          <cell r="I67">
            <v>0</v>
          </cell>
          <cell r="J67">
            <v>8653913.5299999993</v>
          </cell>
          <cell r="K67">
            <v>6469370.4299999997</v>
          </cell>
          <cell r="L67">
            <v>2184543.0999999996</v>
          </cell>
          <cell r="M67">
            <v>6469370.4299999997</v>
          </cell>
        </row>
        <row r="68">
          <cell r="H68">
            <v>839762.05</v>
          </cell>
          <cell r="I68">
            <v>0</v>
          </cell>
          <cell r="J68">
            <v>839762.05</v>
          </cell>
          <cell r="K68">
            <v>632212.17000000004</v>
          </cell>
          <cell r="L68">
            <v>207549.88</v>
          </cell>
          <cell r="M68">
            <v>632212.17000000004</v>
          </cell>
        </row>
        <row r="69">
          <cell r="H69">
            <v>701668.66</v>
          </cell>
          <cell r="I69">
            <v>0</v>
          </cell>
          <cell r="J69">
            <v>701668.66</v>
          </cell>
          <cell r="K69">
            <v>530346.77</v>
          </cell>
          <cell r="L69">
            <v>171321.89</v>
          </cell>
          <cell r="M69">
            <v>530346.77</v>
          </cell>
        </row>
        <row r="72">
          <cell r="H72">
            <v>25000000</v>
          </cell>
          <cell r="I72">
            <v>0</v>
          </cell>
          <cell r="J72">
            <v>25000000</v>
          </cell>
          <cell r="K72">
            <v>12739390.449999999</v>
          </cell>
          <cell r="L72">
            <v>12260609.550000001</v>
          </cell>
          <cell r="M72">
            <v>12739390.449999999</v>
          </cell>
        </row>
        <row r="73">
          <cell r="H73">
            <v>2027030</v>
          </cell>
          <cell r="I73">
            <v>0</v>
          </cell>
          <cell r="J73">
            <v>2027030</v>
          </cell>
          <cell r="K73">
            <v>1032923.55</v>
          </cell>
          <cell r="L73">
            <v>994106.45</v>
          </cell>
          <cell r="M73">
            <v>1032923.55</v>
          </cell>
        </row>
        <row r="74">
          <cell r="H74">
            <v>2100366.66</v>
          </cell>
          <cell r="I74">
            <v>0</v>
          </cell>
          <cell r="J74">
            <v>2100366.66</v>
          </cell>
          <cell r="L74">
            <v>2100366.66</v>
          </cell>
        </row>
        <row r="75">
          <cell r="H75">
            <v>170267.57</v>
          </cell>
          <cell r="I75">
            <v>0</v>
          </cell>
          <cell r="J75">
            <v>170267.57</v>
          </cell>
          <cell r="L75">
            <v>170267.57</v>
          </cell>
        </row>
        <row r="76">
          <cell r="H76">
            <v>161800</v>
          </cell>
          <cell r="I76">
            <v>0</v>
          </cell>
          <cell r="J76">
            <v>161800</v>
          </cell>
          <cell r="K76">
            <v>72000</v>
          </cell>
          <cell r="L76">
            <v>89800</v>
          </cell>
          <cell r="M76">
            <v>65200</v>
          </cell>
        </row>
        <row r="77">
          <cell r="H77">
            <v>106120</v>
          </cell>
          <cell r="I77">
            <v>0</v>
          </cell>
          <cell r="J77">
            <v>106120</v>
          </cell>
          <cell r="K77">
            <v>10000</v>
          </cell>
          <cell r="L77">
            <v>96120</v>
          </cell>
          <cell r="M77">
            <v>10000</v>
          </cell>
        </row>
        <row r="78">
          <cell r="H78">
            <v>257100</v>
          </cell>
          <cell r="I78">
            <v>0</v>
          </cell>
          <cell r="J78">
            <v>257100</v>
          </cell>
          <cell r="K78">
            <v>106905</v>
          </cell>
          <cell r="L78">
            <v>150195</v>
          </cell>
          <cell r="M78">
            <v>106905</v>
          </cell>
        </row>
        <row r="79">
          <cell r="H79">
            <v>127040</v>
          </cell>
          <cell r="I79">
            <v>0</v>
          </cell>
          <cell r="J79">
            <v>127040</v>
          </cell>
          <cell r="K79">
            <v>11042</v>
          </cell>
          <cell r="L79">
            <v>115998</v>
          </cell>
          <cell r="M79">
            <v>11042</v>
          </cell>
        </row>
        <row r="80">
          <cell r="H80">
            <v>100000</v>
          </cell>
          <cell r="I80">
            <v>0</v>
          </cell>
          <cell r="J80">
            <v>100000</v>
          </cell>
          <cell r="K80">
            <v>45900</v>
          </cell>
          <cell r="L80">
            <v>54100</v>
          </cell>
          <cell r="M80">
            <v>45900</v>
          </cell>
        </row>
        <row r="81">
          <cell r="H81">
            <v>197650</v>
          </cell>
          <cell r="I81">
            <v>0</v>
          </cell>
          <cell r="J81">
            <v>197650</v>
          </cell>
          <cell r="K81">
            <v>44000</v>
          </cell>
          <cell r="L81">
            <v>153650</v>
          </cell>
          <cell r="M81">
            <v>44000</v>
          </cell>
        </row>
        <row r="82">
          <cell r="H82">
            <v>139940</v>
          </cell>
          <cell r="I82">
            <v>0</v>
          </cell>
          <cell r="J82">
            <v>139940</v>
          </cell>
          <cell r="K82">
            <v>69220</v>
          </cell>
          <cell r="L82">
            <v>70720</v>
          </cell>
          <cell r="M82">
            <v>69220</v>
          </cell>
        </row>
        <row r="83">
          <cell r="M83">
            <v>15880</v>
          </cell>
        </row>
        <row r="84">
          <cell r="M84">
            <v>9975</v>
          </cell>
        </row>
        <row r="85">
          <cell r="M85">
            <v>16400</v>
          </cell>
        </row>
        <row r="86">
          <cell r="M86">
            <v>12500</v>
          </cell>
        </row>
        <row r="87">
          <cell r="M87">
            <v>5000</v>
          </cell>
        </row>
        <row r="88">
          <cell r="M88">
            <v>5370815.1200000001</v>
          </cell>
        </row>
        <row r="89">
          <cell r="H89">
            <v>176000</v>
          </cell>
          <cell r="I89">
            <v>0</v>
          </cell>
          <cell r="J89">
            <v>176000</v>
          </cell>
          <cell r="K89">
            <v>176000</v>
          </cell>
          <cell r="L89">
            <v>0</v>
          </cell>
          <cell r="M89">
            <v>176000</v>
          </cell>
        </row>
        <row r="90">
          <cell r="H90">
            <v>3084900</v>
          </cell>
          <cell r="I90">
            <v>0</v>
          </cell>
          <cell r="J90">
            <v>3084900</v>
          </cell>
          <cell r="K90">
            <v>3084900</v>
          </cell>
          <cell r="L90">
            <v>0</v>
          </cell>
          <cell r="M90">
            <v>3084900</v>
          </cell>
        </row>
        <row r="91">
          <cell r="H91">
            <v>14271</v>
          </cell>
          <cell r="I91">
            <v>0</v>
          </cell>
          <cell r="J91">
            <v>14271</v>
          </cell>
          <cell r="K91">
            <v>14271</v>
          </cell>
          <cell r="L91">
            <v>0</v>
          </cell>
          <cell r="M91">
            <v>14271</v>
          </cell>
        </row>
        <row r="92">
          <cell r="H92">
            <v>250128</v>
          </cell>
          <cell r="I92">
            <v>0</v>
          </cell>
          <cell r="J92">
            <v>250128</v>
          </cell>
          <cell r="K92">
            <v>250128</v>
          </cell>
          <cell r="L92">
            <v>0</v>
          </cell>
          <cell r="M92">
            <v>250128</v>
          </cell>
        </row>
        <row r="93">
          <cell r="H93">
            <v>21051928.300000001</v>
          </cell>
          <cell r="I93">
            <v>0</v>
          </cell>
          <cell r="J93">
            <v>21051928.300000001</v>
          </cell>
          <cell r="K93">
            <v>14878153.49</v>
          </cell>
          <cell r="L93">
            <v>6173774.8100000005</v>
          </cell>
          <cell r="M93">
            <v>14878153.49</v>
          </cell>
        </row>
        <row r="94">
          <cell r="M94">
            <v>364589.34</v>
          </cell>
        </row>
        <row r="95">
          <cell r="M95">
            <v>23201.24</v>
          </cell>
        </row>
        <row r="96">
          <cell r="M96">
            <v>2508.14</v>
          </cell>
        </row>
        <row r="97">
          <cell r="M97">
            <v>9512.36</v>
          </cell>
        </row>
        <row r="98">
          <cell r="M98">
            <v>18564893.079999998</v>
          </cell>
        </row>
        <row r="99">
          <cell r="M99">
            <v>550000</v>
          </cell>
        </row>
        <row r="100">
          <cell r="M100">
            <v>1016853.82</v>
          </cell>
        </row>
        <row r="101">
          <cell r="M101">
            <v>643686.80000000005</v>
          </cell>
        </row>
        <row r="102">
          <cell r="M102">
            <v>1941540.64</v>
          </cell>
        </row>
        <row r="103">
          <cell r="M103">
            <v>8116464.7800000003</v>
          </cell>
        </row>
        <row r="104">
          <cell r="M104">
            <v>17605327.720000003</v>
          </cell>
        </row>
        <row r="106">
          <cell r="M106">
            <v>359292.4</v>
          </cell>
        </row>
        <row r="107">
          <cell r="H107">
            <v>3700185.7</v>
          </cell>
          <cell r="I107">
            <v>0</v>
          </cell>
          <cell r="J107">
            <v>3700185.7</v>
          </cell>
          <cell r="K107">
            <v>2466790.4500000002</v>
          </cell>
          <cell r="L107">
            <v>1233395.25</v>
          </cell>
          <cell r="M107">
            <v>2466790.4500000002</v>
          </cell>
        </row>
        <row r="108">
          <cell r="H108">
            <v>69587.77</v>
          </cell>
          <cell r="I108">
            <v>0</v>
          </cell>
          <cell r="J108">
            <v>69587.77</v>
          </cell>
          <cell r="K108">
            <v>52190.82</v>
          </cell>
          <cell r="L108">
            <v>17396.950000000004</v>
          </cell>
          <cell r="M108">
            <v>52190.82</v>
          </cell>
        </row>
        <row r="109">
          <cell r="H109">
            <v>80435.759999999995</v>
          </cell>
          <cell r="I109">
            <v>0</v>
          </cell>
          <cell r="J109">
            <v>80435.759999999995</v>
          </cell>
          <cell r="K109">
            <v>42222.66</v>
          </cell>
          <cell r="L109">
            <v>38213.099999999991</v>
          </cell>
          <cell r="M109">
            <v>42222.66</v>
          </cell>
        </row>
        <row r="110">
          <cell r="H110">
            <v>1705581.31</v>
          </cell>
          <cell r="I110">
            <v>0</v>
          </cell>
          <cell r="J110">
            <v>1705581.31</v>
          </cell>
          <cell r="K110">
            <v>1279185.97</v>
          </cell>
          <cell r="L110">
            <v>426395.34000000008</v>
          </cell>
          <cell r="M110">
            <v>1279185.97</v>
          </cell>
        </row>
        <row r="111">
          <cell r="H111">
            <v>1713600</v>
          </cell>
          <cell r="I111">
            <v>0</v>
          </cell>
          <cell r="J111">
            <v>1713600</v>
          </cell>
          <cell r="K111">
            <v>1181003.44</v>
          </cell>
          <cell r="L111">
            <v>532596.56000000006</v>
          </cell>
          <cell r="M111">
            <v>1181003.44</v>
          </cell>
        </row>
        <row r="112">
          <cell r="H112">
            <v>1635100</v>
          </cell>
          <cell r="I112">
            <v>0</v>
          </cell>
          <cell r="J112">
            <v>1635100</v>
          </cell>
          <cell r="K112">
            <v>806015.33</v>
          </cell>
          <cell r="L112">
            <v>829084.67</v>
          </cell>
          <cell r="M112">
            <v>806015.33</v>
          </cell>
        </row>
        <row r="113">
          <cell r="H113">
            <v>16897.080000000002</v>
          </cell>
          <cell r="I113">
            <v>0</v>
          </cell>
          <cell r="J113">
            <v>16897.080000000002</v>
          </cell>
          <cell r="K113">
            <v>12672.84</v>
          </cell>
          <cell r="L113">
            <v>4224.2400000000016</v>
          </cell>
          <cell r="M113">
            <v>12672.84</v>
          </cell>
        </row>
        <row r="114">
          <cell r="H114">
            <v>5102.92</v>
          </cell>
          <cell r="I114">
            <v>0</v>
          </cell>
          <cell r="J114">
            <v>5102.92</v>
          </cell>
          <cell r="K114">
            <v>3827.16</v>
          </cell>
          <cell r="L114">
            <v>1275.7600000000002</v>
          </cell>
          <cell r="M114">
            <v>3827.16</v>
          </cell>
        </row>
        <row r="115">
          <cell r="H115">
            <v>305000</v>
          </cell>
          <cell r="I115">
            <v>0</v>
          </cell>
          <cell r="J115">
            <v>305000</v>
          </cell>
          <cell r="K115">
            <v>295000</v>
          </cell>
          <cell r="L115">
            <v>10000</v>
          </cell>
          <cell r="M115">
            <v>295000</v>
          </cell>
        </row>
        <row r="116">
          <cell r="H116">
            <v>85565.94</v>
          </cell>
          <cell r="I116">
            <v>0</v>
          </cell>
          <cell r="J116">
            <v>85565.94</v>
          </cell>
          <cell r="L116">
            <v>85565.94</v>
          </cell>
        </row>
        <row r="117">
          <cell r="H117">
            <v>202000</v>
          </cell>
          <cell r="I117">
            <v>0</v>
          </cell>
          <cell r="J117">
            <v>202000</v>
          </cell>
          <cell r="K117">
            <v>88014.86</v>
          </cell>
          <cell r="L117">
            <v>113985.14</v>
          </cell>
          <cell r="M117">
            <v>88014.86</v>
          </cell>
        </row>
        <row r="118">
          <cell r="H118">
            <v>230188.26</v>
          </cell>
          <cell r="I118">
            <v>0</v>
          </cell>
          <cell r="J118">
            <v>230188.26</v>
          </cell>
          <cell r="K118">
            <v>77196</v>
          </cell>
          <cell r="L118">
            <v>152992.26</v>
          </cell>
          <cell r="M118">
            <v>77196</v>
          </cell>
        </row>
        <row r="119">
          <cell r="H119">
            <v>72811.740000000005</v>
          </cell>
          <cell r="I119">
            <v>0</v>
          </cell>
          <cell r="J119">
            <v>72811.740000000005</v>
          </cell>
          <cell r="K119">
            <v>15397</v>
          </cell>
          <cell r="L119">
            <v>57414.740000000005</v>
          </cell>
          <cell r="M119">
            <v>15397</v>
          </cell>
        </row>
        <row r="120">
          <cell r="H120">
            <v>20198900</v>
          </cell>
          <cell r="I120">
            <v>0</v>
          </cell>
          <cell r="J120">
            <v>20198900</v>
          </cell>
          <cell r="K120">
            <v>9996989.1099999994</v>
          </cell>
          <cell r="L120">
            <v>10201910.890000001</v>
          </cell>
          <cell r="M120">
            <v>9992840.1199999992</v>
          </cell>
        </row>
        <row r="121">
          <cell r="H121">
            <v>972600</v>
          </cell>
          <cell r="I121">
            <v>0</v>
          </cell>
          <cell r="J121">
            <v>972600</v>
          </cell>
          <cell r="K121">
            <v>227273.46</v>
          </cell>
          <cell r="L121">
            <v>745326.54</v>
          </cell>
          <cell r="M121">
            <v>227273.46</v>
          </cell>
        </row>
        <row r="122">
          <cell r="H122">
            <v>16032200</v>
          </cell>
          <cell r="I122">
            <v>0</v>
          </cell>
          <cell r="J122">
            <v>16032200</v>
          </cell>
          <cell r="K122">
            <v>9903242.25</v>
          </cell>
          <cell r="L122">
            <v>6128957.75</v>
          </cell>
          <cell r="M122">
            <v>9903242.25</v>
          </cell>
        </row>
        <row r="123">
          <cell r="H123">
            <v>692700</v>
          </cell>
          <cell r="I123">
            <v>0</v>
          </cell>
          <cell r="J123">
            <v>692700</v>
          </cell>
          <cell r="K123">
            <v>301226.83</v>
          </cell>
          <cell r="L123">
            <v>391473.17</v>
          </cell>
          <cell r="M123">
            <v>301226.83</v>
          </cell>
        </row>
        <row r="124">
          <cell r="H124">
            <v>18527500</v>
          </cell>
          <cell r="I124">
            <v>0</v>
          </cell>
          <cell r="J124">
            <v>18527500</v>
          </cell>
          <cell r="K124">
            <v>13118222.49</v>
          </cell>
          <cell r="L124">
            <v>5409277.5099999998</v>
          </cell>
          <cell r="M124">
            <v>13118222.49</v>
          </cell>
        </row>
        <row r="125">
          <cell r="H125">
            <v>5037003</v>
          </cell>
          <cell r="I125">
            <v>0</v>
          </cell>
          <cell r="J125">
            <v>5037003</v>
          </cell>
          <cell r="K125">
            <v>3281674.9</v>
          </cell>
          <cell r="L125">
            <v>1755328.1</v>
          </cell>
          <cell r="M125">
            <v>3281674.9</v>
          </cell>
        </row>
        <row r="126">
          <cell r="M126">
            <v>12986.9</v>
          </cell>
        </row>
        <row r="127">
          <cell r="M127">
            <v>1023719.65</v>
          </cell>
        </row>
        <row r="128">
          <cell r="M128">
            <v>482361.72</v>
          </cell>
        </row>
        <row r="129">
          <cell r="M129">
            <v>30842.27</v>
          </cell>
        </row>
        <row r="132">
          <cell r="M132">
            <v>850172435.06000042</v>
          </cell>
        </row>
        <row r="134">
          <cell r="M134">
            <v>504979707.38999993</v>
          </cell>
        </row>
      </sheetData>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7."/>
      <sheetName val="01.10."/>
      <sheetName val="бу 01.10.21"/>
      <sheetName val="ау 01.10.21"/>
    </sheetNames>
    <sheetDataSet>
      <sheetData sheetId="0"/>
      <sheetData sheetId="1">
        <row r="46">
          <cell r="I46">
            <v>39644115.390000008</v>
          </cell>
        </row>
        <row r="47">
          <cell r="J47">
            <v>4384236.59</v>
          </cell>
          <cell r="L47">
            <v>1347274.17</v>
          </cell>
        </row>
        <row r="48">
          <cell r="I48">
            <v>20922600.559999999</v>
          </cell>
        </row>
        <row r="50">
          <cell r="I50">
            <v>9710177.7699999996</v>
          </cell>
        </row>
        <row r="52">
          <cell r="I52">
            <v>89193374.300000012</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П Образование ВБС 01.10.2021"/>
      <sheetName val="ош 1"/>
      <sheetName val="ош 2"/>
      <sheetName val="гимн"/>
      <sheetName val="266"/>
      <sheetName val="269"/>
      <sheetName val="276"/>
      <sheetName val="279"/>
      <sheetName val="280"/>
      <sheetName val="дс 1 ск"/>
      <sheetName val="дс 3"/>
      <sheetName val="дс 4 жемч"/>
      <sheetName val="дс 13"/>
      <sheetName val="дс 2 сев"/>
      <sheetName val="дс 8"/>
      <sheetName val="дс 9"/>
      <sheetName val="дс 1 сем"/>
      <sheetName val="дс 6"/>
      <sheetName val="дс 46"/>
      <sheetName val="ддт др"/>
      <sheetName val="ддт гадж"/>
      <sheetName val="дюсш гадж"/>
      <sheetName val="цттипо"/>
      <sheetName val="цдо"/>
      <sheetName val="имц"/>
      <sheetName val="кш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36">
          <cell r="E136">
            <v>142671.82</v>
          </cell>
        </row>
        <row r="172">
          <cell r="E172">
            <v>4292298</v>
          </cell>
        </row>
      </sheetData>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асп ГП"/>
      <sheetName val="табл.2"/>
      <sheetName val="табл.3"/>
      <sheetName val="табл.4"/>
      <sheetName val="табл.5"/>
      <sheetName val="табл.5(а)"/>
      <sheetName val="табл.7"/>
      <sheetName val="табл.5(б)"/>
      <sheetName val="табл.6"/>
      <sheetName val="табл.8 09.06.21"/>
      <sheetName val="табл.9"/>
      <sheetName val="табл.8 уточнение 2021 04.02. "/>
      <sheetName val="табл.10(а)"/>
      <sheetName val="табл.10(б)"/>
      <sheetName val="табл.10(в)"/>
      <sheetName val="РСД 93 от 15.12.21"/>
      <sheetName val="01 12 2021"/>
      <sheetName val="31 12 2021"/>
      <sheetName val="СБР для ГРБС от УФ "/>
      <sheetName val="11а. Отч мероп 01.10.21"/>
      <sheetName val="11б. Отч ОКС"/>
      <sheetName val="бюджет2022"/>
      <sheetName val="кб 2022"/>
      <sheetName val="культура 2022"/>
      <sheetName val="БЮДЖЕТ 2 чтение"/>
      <sheetName val="хэк"/>
      <sheetName val="ЦСР"/>
      <sheetName val="Документ 2022-2024"/>
      <sheetName val="01 02 2022"/>
      <sheetName val="11в. Отч пок "/>
      <sheetName val="11г Оц э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5">
          <cell r="F25">
            <v>483886690</v>
          </cell>
          <cell r="G25">
            <v>0</v>
          </cell>
          <cell r="H25">
            <v>0</v>
          </cell>
          <cell r="I25">
            <v>0</v>
          </cell>
        </row>
        <row r="31">
          <cell r="H31">
            <v>254443145.69</v>
          </cell>
          <cell r="I31">
            <v>60353907.579999998</v>
          </cell>
        </row>
        <row r="37">
          <cell r="F37">
            <v>434900</v>
          </cell>
        </row>
        <row r="43">
          <cell r="F43">
            <v>17394600</v>
          </cell>
        </row>
        <row r="49">
          <cell r="F49">
            <v>13906667.050000001</v>
          </cell>
          <cell r="H49">
            <v>7553693.2400000002</v>
          </cell>
        </row>
        <row r="67">
          <cell r="F67">
            <v>1591333.51</v>
          </cell>
          <cell r="H67">
            <v>1702022</v>
          </cell>
        </row>
        <row r="91">
          <cell r="F91">
            <v>476555830</v>
          </cell>
          <cell r="G91">
            <v>40388040</v>
          </cell>
        </row>
        <row r="97">
          <cell r="F97">
            <v>1757300</v>
          </cell>
          <cell r="H97">
            <v>105972557.94</v>
          </cell>
          <cell r="I97">
            <v>2274562</v>
          </cell>
        </row>
        <row r="103">
          <cell r="F103">
            <v>569225.18999999994</v>
          </cell>
          <cell r="H103">
            <v>46153.39</v>
          </cell>
        </row>
        <row r="115">
          <cell r="H115">
            <v>2002256</v>
          </cell>
        </row>
        <row r="121">
          <cell r="F121">
            <v>13312280</v>
          </cell>
          <cell r="G121">
            <v>22518700</v>
          </cell>
          <cell r="H121">
            <v>7488048.8100000005</v>
          </cell>
        </row>
        <row r="157">
          <cell r="H157">
            <v>125018354.94</v>
          </cell>
          <cell r="I157">
            <v>15100818.560000001</v>
          </cell>
        </row>
        <row r="163">
          <cell r="F163">
            <v>13170661.810000001</v>
          </cell>
          <cell r="H163">
            <v>7789382.8800000008</v>
          </cell>
        </row>
        <row r="169">
          <cell r="F169">
            <v>13752235.74</v>
          </cell>
          <cell r="H169">
            <v>99115860.360000014</v>
          </cell>
        </row>
        <row r="175">
          <cell r="H175">
            <v>12815477.560000001</v>
          </cell>
        </row>
        <row r="181">
          <cell r="H181">
            <v>226859.84</v>
          </cell>
        </row>
        <row r="193">
          <cell r="H193">
            <v>25849403.720000003</v>
          </cell>
          <cell r="I193">
            <v>3482666.51</v>
          </cell>
        </row>
        <row r="199">
          <cell r="F199">
            <v>9019534.0899999999</v>
          </cell>
          <cell r="H199">
            <v>48666617.510000005</v>
          </cell>
        </row>
        <row r="205">
          <cell r="F205">
            <v>1788025.93</v>
          </cell>
          <cell r="H205">
            <v>1145333.8999999999</v>
          </cell>
        </row>
        <row r="229">
          <cell r="H229">
            <v>0</v>
          </cell>
        </row>
        <row r="235">
          <cell r="H235">
            <v>1190000</v>
          </cell>
        </row>
        <row r="241">
          <cell r="H241">
            <v>0</v>
          </cell>
        </row>
        <row r="247">
          <cell r="H247">
            <v>6523801.1299999999</v>
          </cell>
        </row>
        <row r="271">
          <cell r="F271">
            <v>1689003.3599999999</v>
          </cell>
          <cell r="G271">
            <v>4524899.37</v>
          </cell>
          <cell r="H271">
            <v>138911.79</v>
          </cell>
        </row>
        <row r="283">
          <cell r="F283">
            <v>1961081.15</v>
          </cell>
          <cell r="G283">
            <v>4801440.6500000004</v>
          </cell>
          <cell r="H283">
            <v>548312.57999999996</v>
          </cell>
        </row>
        <row r="301">
          <cell r="H301">
            <v>19028854.399999999</v>
          </cell>
        </row>
        <row r="313">
          <cell r="F313">
            <v>7518000</v>
          </cell>
          <cell r="H313">
            <v>0</v>
          </cell>
        </row>
        <row r="319">
          <cell r="F319">
            <v>85565.94</v>
          </cell>
          <cell r="H319">
            <v>0</v>
          </cell>
        </row>
        <row r="325">
          <cell r="F325">
            <v>1461100</v>
          </cell>
        </row>
        <row r="331">
          <cell r="F331">
            <v>305000</v>
          </cell>
        </row>
        <row r="337">
          <cell r="F337">
            <v>519500</v>
          </cell>
        </row>
        <row r="343">
          <cell r="F343">
            <v>33595600</v>
          </cell>
        </row>
        <row r="361">
          <cell r="H361">
            <v>21518604.640000001</v>
          </cell>
          <cell r="I361">
            <v>0</v>
          </cell>
        </row>
        <row r="367">
          <cell r="F367">
            <v>30933.72</v>
          </cell>
          <cell r="H367">
            <v>16777.57</v>
          </cell>
        </row>
        <row r="379">
          <cell r="H379">
            <v>51208044.75</v>
          </cell>
          <cell r="I379">
            <v>40801</v>
          </cell>
        </row>
        <row r="391">
          <cell r="F391">
            <v>1975500</v>
          </cell>
          <cell r="H391">
            <v>4450063.1000000006</v>
          </cell>
        </row>
        <row r="397">
          <cell r="F397">
            <v>13418600</v>
          </cell>
        </row>
        <row r="403">
          <cell r="H403">
            <v>30425006.760000002</v>
          </cell>
          <cell r="I403">
            <v>24022637.550000001</v>
          </cell>
        </row>
        <row r="409">
          <cell r="F409">
            <v>3428533.54</v>
          </cell>
          <cell r="H409">
            <v>809439.6100000001</v>
          </cell>
        </row>
        <row r="415">
          <cell r="F415">
            <v>14640050</v>
          </cell>
          <cell r="G415">
            <v>24929935</v>
          </cell>
          <cell r="H415">
            <v>807550.88</v>
          </cell>
        </row>
        <row r="427">
          <cell r="F427">
            <v>3260900</v>
          </cell>
          <cell r="H427">
            <v>6329714.1200000001</v>
          </cell>
          <cell r="I427">
            <v>4292298</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П Образование ВБС 01.01.2021"/>
      <sheetName val="дс 1 ск"/>
      <sheetName val="дс 3"/>
      <sheetName val="дс 4"/>
      <sheetName val="дс 13"/>
      <sheetName val="дс 2 сев"/>
      <sheetName val="дс 7"/>
      <sheetName val="дс 8"/>
      <sheetName val="дс 9"/>
      <sheetName val="дс 1 сем"/>
      <sheetName val="дс 6"/>
      <sheetName val="дс 46"/>
      <sheetName val="ош 1"/>
      <sheetName val="ош 2"/>
      <sheetName val="гимн"/>
      <sheetName val="266"/>
      <sheetName val="269"/>
      <sheetName val="276"/>
      <sheetName val="279"/>
      <sheetName val="280"/>
      <sheetName val="ддт др"/>
      <sheetName val="ддт гадж"/>
      <sheetName val="дюсш пол"/>
      <sheetName val="дюсш снеж"/>
      <sheetName val="дюсш гадж"/>
      <sheetName val="цдо"/>
      <sheetName val="цттипо"/>
      <sheetName val="имц"/>
      <sheetName val="кшп"/>
    </sheetNames>
    <sheetDataSet>
      <sheetData sheetId="0">
        <row r="11">
          <cell r="H11">
            <v>106044223.68999998</v>
          </cell>
        </row>
        <row r="13">
          <cell r="E13">
            <v>60293636.579999991</v>
          </cell>
        </row>
        <row r="44">
          <cell r="E44">
            <v>2144046</v>
          </cell>
        </row>
        <row r="75">
          <cell r="E75">
            <v>15095818.560000001</v>
          </cell>
        </row>
        <row r="109">
          <cell r="E109">
            <v>0</v>
          </cell>
        </row>
        <row r="142">
          <cell r="E142">
            <v>23963595.190000001</v>
          </cell>
        </row>
        <row r="172">
          <cell r="E172">
            <v>4292298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9">
          <cell r="E9">
            <v>3519694.54</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СР"/>
      <sheetName val="ЦСР"/>
    </sheetNames>
    <sheetDataSet>
      <sheetData sheetId="0" refreshError="1"/>
      <sheetData sheetId="1">
        <row r="88">
          <cell r="F88">
            <v>51208044.75</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374"/>
  <sheetViews>
    <sheetView topLeftCell="A3" zoomScale="120" zoomScaleNormal="120" zoomScaleSheetLayoutView="100" workbookViewId="0">
      <pane xSplit="2" ySplit="15" topLeftCell="C18" activePane="bottomRight" state="frozen"/>
      <selection activeCell="N13" sqref="N13"/>
      <selection pane="topRight" activeCell="N13" sqref="N13"/>
      <selection pane="bottomLeft" activeCell="N13" sqref="N13"/>
      <selection pane="bottomRight" activeCell="N13" sqref="N13"/>
    </sheetView>
  </sheetViews>
  <sheetFormatPr defaultRowHeight="15" x14ac:dyDescent="0.25"/>
  <cols>
    <col min="1" max="1" width="4.85546875" style="2" customWidth="1"/>
    <col min="2" max="2" width="74" style="2" customWidth="1"/>
    <col min="3" max="3" width="5.85546875" style="2" customWidth="1"/>
    <col min="4" max="4" width="14" style="4" customWidth="1"/>
    <col min="5" max="5" width="13.7109375" style="4" customWidth="1"/>
    <col min="6" max="6" width="13.5703125" style="4" customWidth="1"/>
    <col min="7" max="7" width="30.28515625" style="2" customWidth="1"/>
    <col min="8" max="8" width="31.28515625" style="2" customWidth="1"/>
    <col min="9" max="9" width="15" style="2" customWidth="1"/>
    <col min="10" max="10" width="11.7109375" style="2" customWidth="1"/>
    <col min="11" max="11" width="20.42578125" style="2" customWidth="1"/>
    <col min="12" max="12" width="14.5703125" style="6" bestFit="1" customWidth="1"/>
    <col min="13" max="13" width="9.28515625" style="6" customWidth="1"/>
    <col min="14" max="16" width="11.42578125" style="6" customWidth="1"/>
    <col min="17" max="17" width="14.42578125" style="7" customWidth="1"/>
    <col min="18" max="18" width="17.42578125" style="7" bestFit="1" customWidth="1"/>
    <col min="19" max="19" width="17.42578125" style="7" customWidth="1"/>
    <col min="20" max="20" width="9.140625" style="7"/>
    <col min="21" max="16384" width="9.140625" style="2"/>
  </cols>
  <sheetData>
    <row r="1" spans="1:18" ht="12" customHeight="1" x14ac:dyDescent="0.25">
      <c r="A1" s="1"/>
      <c r="C1" s="3"/>
      <c r="K1" s="5" t="s">
        <v>0</v>
      </c>
    </row>
    <row r="2" spans="1:18" ht="18.75" customHeight="1" x14ac:dyDescent="0.25">
      <c r="A2" s="1"/>
      <c r="C2" s="3"/>
    </row>
    <row r="3" spans="1:18" ht="12.75" customHeight="1" x14ac:dyDescent="0.25">
      <c r="A3" s="511" t="s">
        <v>1</v>
      </c>
      <c r="B3" s="511"/>
      <c r="C3" s="511"/>
      <c r="D3" s="511"/>
      <c r="E3" s="511"/>
      <c r="F3" s="511"/>
      <c r="G3" s="511"/>
      <c r="H3" s="511"/>
      <c r="I3" s="511"/>
      <c r="J3" s="511"/>
      <c r="K3" s="511"/>
    </row>
    <row r="4" spans="1:18" ht="12.75" hidden="1" customHeight="1" x14ac:dyDescent="0.25">
      <c r="A4" s="8"/>
      <c r="B4" s="8"/>
      <c r="C4" s="8"/>
      <c r="D4" s="8"/>
      <c r="E4" s="8"/>
      <c r="F4" s="8"/>
      <c r="G4" s="8"/>
      <c r="H4" s="8"/>
      <c r="I4" s="8"/>
      <c r="J4" s="8"/>
      <c r="K4" s="8"/>
    </row>
    <row r="5" spans="1:18" ht="12.75" hidden="1" customHeight="1" x14ac:dyDescent="0.25">
      <c r="A5" s="8"/>
      <c r="B5" s="8"/>
      <c r="C5" s="9"/>
      <c r="D5" s="10">
        <f>D6+D7+D8+D9</f>
        <v>2109052386.29</v>
      </c>
      <c r="E5" s="11">
        <f>D5-D18</f>
        <v>0</v>
      </c>
      <c r="F5" s="8"/>
      <c r="G5" s="8"/>
      <c r="H5" s="8"/>
      <c r="I5" s="8"/>
      <c r="J5" s="8"/>
      <c r="K5" s="8"/>
    </row>
    <row r="6" spans="1:18" ht="12.75" hidden="1" customHeight="1" x14ac:dyDescent="0.25">
      <c r="A6" s="8"/>
      <c r="B6" s="8"/>
      <c r="C6" s="9" t="s">
        <v>2</v>
      </c>
      <c r="D6" s="10">
        <f>[1]табл.8!H7</f>
        <v>812914304.75</v>
      </c>
      <c r="E6" s="11">
        <f>D6-D19</f>
        <v>0</v>
      </c>
      <c r="F6" s="8"/>
      <c r="G6" s="8"/>
      <c r="H6" s="8"/>
      <c r="I6" s="8"/>
      <c r="J6" s="8"/>
      <c r="K6" s="8"/>
    </row>
    <row r="7" spans="1:18" ht="12.75" hidden="1" customHeight="1" x14ac:dyDescent="0.25">
      <c r="A7" s="8"/>
      <c r="B7" s="8"/>
      <c r="C7" s="9" t="s">
        <v>3</v>
      </c>
      <c r="D7" s="10">
        <f>[1]табл.8!F7</f>
        <v>1067695663.6800001</v>
      </c>
      <c r="E7" s="11">
        <f>D7-D20</f>
        <v>0</v>
      </c>
      <c r="F7" s="9" t="s">
        <v>4</v>
      </c>
      <c r="G7" s="10">
        <f>[1]табл.8!E424</f>
        <v>1952999007.02</v>
      </c>
      <c r="H7" s="10">
        <f>G7-D23</f>
        <v>0</v>
      </c>
      <c r="I7" s="8"/>
      <c r="J7" s="8"/>
      <c r="K7" s="8"/>
    </row>
    <row r="8" spans="1:18" ht="12.75" hidden="1" customHeight="1" x14ac:dyDescent="0.25">
      <c r="A8" s="8"/>
      <c r="B8" s="8"/>
      <c r="C8" s="9" t="s">
        <v>5</v>
      </c>
      <c r="D8" s="10">
        <f>[1]табл.8!G7</f>
        <v>94351100.859999999</v>
      </c>
      <c r="E8" s="11">
        <f>D8-D21</f>
        <v>0</v>
      </c>
      <c r="F8" s="9" t="s">
        <v>6</v>
      </c>
      <c r="G8" s="10">
        <f>[1]табл.8!E409</f>
        <v>106602959.05000001</v>
      </c>
      <c r="H8" s="10">
        <f>G8-D28</f>
        <v>0</v>
      </c>
      <c r="I8" s="8"/>
      <c r="J8" s="8"/>
      <c r="K8" s="8"/>
    </row>
    <row r="9" spans="1:18" ht="12.75" hidden="1" customHeight="1" x14ac:dyDescent="0.25">
      <c r="A9" s="8"/>
      <c r="B9" s="8"/>
      <c r="C9" s="9" t="s">
        <v>7</v>
      </c>
      <c r="D9" s="10">
        <f>[1]табл.8!I7</f>
        <v>134091317</v>
      </c>
      <c r="E9" s="11">
        <f>D9-D22</f>
        <v>0</v>
      </c>
      <c r="F9" s="9" t="s">
        <v>8</v>
      </c>
      <c r="G9" s="10">
        <f>[1]табл.8!E417</f>
        <v>49450420.219999999</v>
      </c>
      <c r="H9" s="10">
        <f>G9-D33</f>
        <v>0</v>
      </c>
      <c r="I9" s="8"/>
      <c r="J9" s="8"/>
      <c r="K9" s="8"/>
    </row>
    <row r="10" spans="1:18" ht="12.75" customHeight="1" x14ac:dyDescent="0.25">
      <c r="A10" s="8"/>
      <c r="B10" s="8"/>
      <c r="C10" s="9"/>
      <c r="D10" s="10"/>
      <c r="E10" s="11"/>
      <c r="F10" s="9"/>
      <c r="G10" s="10"/>
      <c r="H10" s="10"/>
      <c r="I10" s="8"/>
      <c r="J10" s="8"/>
      <c r="K10" s="8"/>
      <c r="Q10" s="7">
        <v>568770</v>
      </c>
      <c r="R10" s="7" t="s">
        <v>9</v>
      </c>
    </row>
    <row r="11" spans="1:18" ht="12.75" customHeight="1" x14ac:dyDescent="0.25">
      <c r="A11" s="8"/>
      <c r="B11" s="8"/>
      <c r="C11" s="9"/>
      <c r="D11" s="10" t="s">
        <v>10</v>
      </c>
      <c r="E11" s="11">
        <f>E12+E13+E14</f>
        <v>994531586.52999973</v>
      </c>
      <c r="F11" s="11">
        <f>E11-E23+E27</f>
        <v>7827726.0799997151</v>
      </c>
      <c r="G11" s="10"/>
      <c r="H11" s="10"/>
      <c r="I11" s="8"/>
      <c r="J11" s="8"/>
      <c r="K11" s="8"/>
      <c r="Q11" s="7">
        <f>'[1]01 07 2021'!M8</f>
        <v>244126.07999999999</v>
      </c>
      <c r="R11" s="7" t="s">
        <v>11</v>
      </c>
    </row>
    <row r="12" spans="1:18" ht="12.75" customHeight="1" x14ac:dyDescent="0.25">
      <c r="A12" s="8"/>
      <c r="B12" s="8"/>
      <c r="C12" s="9"/>
      <c r="D12" s="9" t="s">
        <v>2</v>
      </c>
      <c r="E12" s="11">
        <f>'[1]01 07 2021'!M130</f>
        <v>367652141.69999993</v>
      </c>
      <c r="F12" s="11">
        <f>E12-E24</f>
        <v>812896.07999992371</v>
      </c>
      <c r="G12" s="12" t="s">
        <v>12</v>
      </c>
      <c r="H12" s="10"/>
      <c r="I12" s="8"/>
      <c r="J12" s="8"/>
      <c r="K12" s="8"/>
    </row>
    <row r="13" spans="1:18" ht="12.75" customHeight="1" x14ac:dyDescent="0.25">
      <c r="A13" s="8"/>
      <c r="B13" s="8"/>
      <c r="C13" s="9"/>
      <c r="D13" s="9" t="s">
        <v>3</v>
      </c>
      <c r="E13" s="11">
        <f>'[1]01 07 2021'!M128-E14</f>
        <v>583290968.76999974</v>
      </c>
      <c r="F13" s="11">
        <f>E13-E25</f>
        <v>7014829.9999996424</v>
      </c>
      <c r="G13" s="6" t="s">
        <v>13</v>
      </c>
      <c r="H13" s="10"/>
      <c r="I13" s="8"/>
      <c r="J13" s="8"/>
      <c r="K13" s="8"/>
    </row>
    <row r="14" spans="1:18" ht="12.75" customHeight="1" x14ac:dyDescent="0.25">
      <c r="A14" s="8"/>
      <c r="B14" s="8"/>
      <c r="C14" s="9"/>
      <c r="D14" s="9" t="s">
        <v>5</v>
      </c>
      <c r="E14" s="11">
        <f>'[1]01 07 2021'!M28+'[1]01 07 2021'!M29+'[1]01 07 2021'!M36+'[1]01 07 2021'!M50+'[1]01 07 2021'!M100</f>
        <v>43588476.060000002</v>
      </c>
      <c r="F14" s="11">
        <f>E14-E26</f>
        <v>0</v>
      </c>
      <c r="G14" s="10"/>
      <c r="H14" s="10"/>
      <c r="I14" s="8"/>
      <c r="J14" s="8"/>
      <c r="K14" s="8"/>
      <c r="O14" s="6" t="s">
        <v>887</v>
      </c>
    </row>
    <row r="15" spans="1:18" ht="12.75" customHeight="1" x14ac:dyDescent="0.25">
      <c r="A15" s="8"/>
      <c r="B15" s="8"/>
      <c r="C15" s="9"/>
      <c r="D15" s="9" t="s">
        <v>7</v>
      </c>
      <c r="E15" s="11">
        <f>[2]Лист1!$I$52</f>
        <v>76989063.280000001</v>
      </c>
      <c r="F15" s="11">
        <f>E15-E27</f>
        <v>8750000</v>
      </c>
      <c r="G15" s="10" t="s">
        <v>179</v>
      </c>
      <c r="H15" s="10"/>
      <c r="I15" s="8"/>
      <c r="J15" s="8"/>
      <c r="K15" s="8"/>
    </row>
    <row r="16" spans="1:18" ht="27" customHeight="1" x14ac:dyDescent="0.25">
      <c r="A16" s="449" t="s">
        <v>14</v>
      </c>
      <c r="B16" s="451" t="s">
        <v>15</v>
      </c>
      <c r="C16" s="451" t="s">
        <v>16</v>
      </c>
      <c r="D16" s="451"/>
      <c r="E16" s="451"/>
      <c r="F16" s="512" t="s">
        <v>17</v>
      </c>
      <c r="G16" s="451" t="s">
        <v>18</v>
      </c>
      <c r="H16" s="451"/>
      <c r="I16" s="451"/>
      <c r="J16" s="451" t="s">
        <v>19</v>
      </c>
      <c r="K16" s="451" t="s">
        <v>20</v>
      </c>
    </row>
    <row r="17" spans="1:20" ht="30.75" customHeight="1" x14ac:dyDescent="0.25">
      <c r="A17" s="449"/>
      <c r="B17" s="451"/>
      <c r="C17" s="13" t="s">
        <v>21</v>
      </c>
      <c r="D17" s="14" t="s">
        <v>22</v>
      </c>
      <c r="E17" s="14" t="s">
        <v>23</v>
      </c>
      <c r="F17" s="512"/>
      <c r="G17" s="13" t="s">
        <v>24</v>
      </c>
      <c r="H17" s="13" t="s">
        <v>25</v>
      </c>
      <c r="I17" s="13" t="s">
        <v>26</v>
      </c>
      <c r="J17" s="451"/>
      <c r="K17" s="451"/>
    </row>
    <row r="18" spans="1:20" ht="12" customHeight="1" x14ac:dyDescent="0.25">
      <c r="A18" s="449"/>
      <c r="B18" s="506" t="s">
        <v>27</v>
      </c>
      <c r="C18" s="13" t="s">
        <v>28</v>
      </c>
      <c r="D18" s="15">
        <f>D19+D20+D21+D22</f>
        <v>2109052386.29</v>
      </c>
      <c r="E18" s="15">
        <f>E19+E20+E21+E22</f>
        <v>1056723839.1699998</v>
      </c>
      <c r="F18" s="15">
        <f>E18/D18</f>
        <v>0.50104200637181218</v>
      </c>
      <c r="G18" s="457"/>
      <c r="H18" s="16" t="s">
        <v>29</v>
      </c>
      <c r="I18" s="13"/>
      <c r="J18" s="451"/>
      <c r="K18" s="451"/>
    </row>
    <row r="19" spans="1:20" ht="12" customHeight="1" x14ac:dyDescent="0.25">
      <c r="A19" s="449"/>
      <c r="B19" s="506"/>
      <c r="C19" s="13" t="s">
        <v>30</v>
      </c>
      <c r="D19" s="15">
        <f>D39+D94+D139+D249+D299</f>
        <v>812914304.75</v>
      </c>
      <c r="E19" s="15">
        <f>E39+E94+E139+E249+E299</f>
        <v>368620161.05999994</v>
      </c>
      <c r="F19" s="15">
        <f t="shared" ref="F19:F37" si="0">E19/D19</f>
        <v>0.45345512916440034</v>
      </c>
      <c r="G19" s="457"/>
      <c r="H19" s="16" t="s">
        <v>31</v>
      </c>
      <c r="I19" s="13"/>
      <c r="J19" s="451"/>
      <c r="K19" s="451"/>
    </row>
    <row r="20" spans="1:20" ht="12" customHeight="1" x14ac:dyDescent="0.25">
      <c r="A20" s="449"/>
      <c r="B20" s="506"/>
      <c r="C20" s="13" t="s">
        <v>32</v>
      </c>
      <c r="D20" s="15">
        <f t="shared" ref="D20:E22" si="1">D40+D95+D140+D250+D300</f>
        <v>1067695663.6800001</v>
      </c>
      <c r="E20" s="15">
        <f t="shared" si="1"/>
        <v>576276138.76999998</v>
      </c>
      <c r="F20" s="15">
        <f t="shared" si="0"/>
        <v>0.53973820291052166</v>
      </c>
      <c r="G20" s="457"/>
      <c r="H20" s="16" t="s">
        <v>33</v>
      </c>
      <c r="I20" s="13"/>
      <c r="J20" s="451"/>
      <c r="K20" s="451"/>
    </row>
    <row r="21" spans="1:20" ht="12" customHeight="1" x14ac:dyDescent="0.25">
      <c r="A21" s="449"/>
      <c r="B21" s="506"/>
      <c r="C21" s="13" t="s">
        <v>34</v>
      </c>
      <c r="D21" s="15">
        <f t="shared" si="1"/>
        <v>94351100.859999999</v>
      </c>
      <c r="E21" s="15">
        <f t="shared" si="1"/>
        <v>43588476.060000002</v>
      </c>
      <c r="F21" s="15">
        <f t="shared" si="0"/>
        <v>0.46198163733857683</v>
      </c>
      <c r="G21" s="457"/>
      <c r="H21" s="16" t="s">
        <v>35</v>
      </c>
      <c r="I21" s="13"/>
      <c r="J21" s="451"/>
      <c r="K21" s="451"/>
    </row>
    <row r="22" spans="1:20" ht="12" customHeight="1" x14ac:dyDescent="0.25">
      <c r="A22" s="449"/>
      <c r="B22" s="506"/>
      <c r="C22" s="13" t="s">
        <v>36</v>
      </c>
      <c r="D22" s="15">
        <f t="shared" si="1"/>
        <v>134091317</v>
      </c>
      <c r="E22" s="15">
        <f t="shared" si="1"/>
        <v>68239063.280000001</v>
      </c>
      <c r="F22" s="15">
        <f t="shared" si="0"/>
        <v>0.50889994077692591</v>
      </c>
      <c r="G22" s="457"/>
      <c r="H22" s="16" t="s">
        <v>37</v>
      </c>
      <c r="I22" s="13"/>
      <c r="J22" s="451"/>
      <c r="K22" s="451"/>
    </row>
    <row r="23" spans="1:20" s="22" customFormat="1" ht="12" customHeight="1" x14ac:dyDescent="0.25">
      <c r="A23" s="449"/>
      <c r="B23" s="506" t="s">
        <v>38</v>
      </c>
      <c r="C23" s="17" t="s">
        <v>28</v>
      </c>
      <c r="D23" s="18">
        <f>D24+D25+D26+D27</f>
        <v>1952999007.02</v>
      </c>
      <c r="E23" s="18">
        <f>E24+E25+E26+E27</f>
        <v>1054942923.73</v>
      </c>
      <c r="F23" s="18">
        <f t="shared" si="0"/>
        <v>0.54016562217289277</v>
      </c>
      <c r="G23" s="457"/>
      <c r="H23" s="19" t="s">
        <v>39</v>
      </c>
      <c r="I23" s="17"/>
      <c r="J23" s="451"/>
      <c r="K23" s="451"/>
      <c r="L23" s="20"/>
      <c r="M23" s="20"/>
      <c r="N23" s="20"/>
      <c r="O23" s="20"/>
      <c r="P23" s="20"/>
      <c r="Q23" s="21"/>
      <c r="R23" s="21"/>
      <c r="S23" s="21"/>
      <c r="T23" s="21"/>
    </row>
    <row r="24" spans="1:20" ht="12" customHeight="1" x14ac:dyDescent="0.25">
      <c r="A24" s="449"/>
      <c r="B24" s="506"/>
      <c r="C24" s="13" t="s">
        <v>30</v>
      </c>
      <c r="D24" s="15">
        <f>D39+D94+D144+D204-D224+D254+D264+D304+D329+D359</f>
        <v>679956352.03000009</v>
      </c>
      <c r="E24" s="23">
        <f>E39+E94+E144+E204-E224+E254+E264+E304+E329+E359</f>
        <v>366839245.62</v>
      </c>
      <c r="F24" s="15">
        <f t="shared" si="0"/>
        <v>0.53950410864580733</v>
      </c>
      <c r="G24" s="457"/>
      <c r="H24" s="16" t="s">
        <v>31</v>
      </c>
      <c r="I24" s="13"/>
      <c r="J24" s="451"/>
      <c r="K24" s="451"/>
    </row>
    <row r="25" spans="1:20" ht="12" customHeight="1" x14ac:dyDescent="0.25">
      <c r="A25" s="449"/>
      <c r="B25" s="506"/>
      <c r="C25" s="13" t="s">
        <v>32</v>
      </c>
      <c r="D25" s="15">
        <f t="shared" ref="D25:E27" si="2">D40+D95+D145+D205-D225+D255+D265+D305+D330+D360</f>
        <v>1057337372.99</v>
      </c>
      <c r="E25" s="23">
        <f t="shared" si="2"/>
        <v>576276138.7700001</v>
      </c>
      <c r="F25" s="15">
        <f t="shared" si="0"/>
        <v>0.54502579166418097</v>
      </c>
      <c r="G25" s="457"/>
      <c r="H25" s="16" t="s">
        <v>33</v>
      </c>
      <c r="I25" s="13"/>
      <c r="J25" s="451"/>
      <c r="K25" s="451"/>
    </row>
    <row r="26" spans="1:20" ht="12" customHeight="1" x14ac:dyDescent="0.25">
      <c r="A26" s="449"/>
      <c r="B26" s="506"/>
      <c r="C26" s="13" t="s">
        <v>34</v>
      </c>
      <c r="D26" s="15">
        <f t="shared" si="2"/>
        <v>87836675</v>
      </c>
      <c r="E26" s="23">
        <f t="shared" si="2"/>
        <v>43588476.060000002</v>
      </c>
      <c r="F26" s="15">
        <f t="shared" si="0"/>
        <v>0.49624460465972786</v>
      </c>
      <c r="G26" s="457"/>
      <c r="H26" s="16" t="s">
        <v>35</v>
      </c>
      <c r="I26" s="13"/>
      <c r="J26" s="451"/>
      <c r="K26" s="451"/>
    </row>
    <row r="27" spans="1:20" ht="12" customHeight="1" x14ac:dyDescent="0.25">
      <c r="A27" s="449"/>
      <c r="B27" s="506"/>
      <c r="C27" s="13" t="s">
        <v>36</v>
      </c>
      <c r="D27" s="15">
        <f t="shared" si="2"/>
        <v>127868607</v>
      </c>
      <c r="E27" s="15">
        <f>E42+E97+E147+E207-E227+E257+E267+E307+E332+E362</f>
        <v>68239063.280000001</v>
      </c>
      <c r="F27" s="15">
        <f t="shared" si="0"/>
        <v>0.53366549367351757</v>
      </c>
      <c r="G27" s="457"/>
      <c r="H27" s="16" t="s">
        <v>37</v>
      </c>
      <c r="I27" s="13"/>
      <c r="J27" s="451"/>
      <c r="K27" s="451"/>
    </row>
    <row r="28" spans="1:20" ht="12" customHeight="1" x14ac:dyDescent="0.25">
      <c r="A28" s="449"/>
      <c r="B28" s="506" t="s">
        <v>40</v>
      </c>
      <c r="C28" s="13" t="s">
        <v>28</v>
      </c>
      <c r="D28" s="15">
        <f>D29+D30+D31+D32</f>
        <v>106602959.05000001</v>
      </c>
      <c r="E28" s="15">
        <f>E29+E30+E31+E32</f>
        <v>0</v>
      </c>
      <c r="F28" s="15">
        <f t="shared" si="0"/>
        <v>0</v>
      </c>
      <c r="G28" s="457"/>
      <c r="H28" s="16" t="s">
        <v>39</v>
      </c>
      <c r="I28" s="13"/>
      <c r="J28" s="451"/>
      <c r="K28" s="451"/>
    </row>
    <row r="29" spans="1:20" ht="12" customHeight="1" x14ac:dyDescent="0.25">
      <c r="A29" s="449"/>
      <c r="B29" s="506"/>
      <c r="C29" s="13" t="s">
        <v>30</v>
      </c>
      <c r="D29" s="15">
        <f>D174+D224+D229</f>
        <v>86237532.500000015</v>
      </c>
      <c r="E29" s="15">
        <f>E174+E175</f>
        <v>0</v>
      </c>
      <c r="F29" s="15">
        <f t="shared" si="0"/>
        <v>0</v>
      </c>
      <c r="G29" s="457"/>
      <c r="H29" s="16" t="s">
        <v>31</v>
      </c>
      <c r="I29" s="13"/>
      <c r="J29" s="451"/>
      <c r="K29" s="451"/>
    </row>
    <row r="30" spans="1:20" ht="12" customHeight="1" x14ac:dyDescent="0.25">
      <c r="A30" s="449"/>
      <c r="B30" s="506"/>
      <c r="C30" s="13" t="s">
        <v>32</v>
      </c>
      <c r="D30" s="15">
        <f t="shared" ref="D30:D32" si="3">D175+D225+D230</f>
        <v>10358290.690000001</v>
      </c>
      <c r="E30" s="15">
        <f t="shared" ref="E30:E32" si="4">E175+E176</f>
        <v>0</v>
      </c>
      <c r="F30" s="15">
        <f t="shared" si="0"/>
        <v>0</v>
      </c>
      <c r="G30" s="457"/>
      <c r="H30" s="16" t="s">
        <v>33</v>
      </c>
      <c r="I30" s="13"/>
      <c r="J30" s="451"/>
      <c r="K30" s="451"/>
    </row>
    <row r="31" spans="1:20" ht="12" customHeight="1" x14ac:dyDescent="0.25">
      <c r="A31" s="449"/>
      <c r="B31" s="506"/>
      <c r="C31" s="13" t="s">
        <v>34</v>
      </c>
      <c r="D31" s="15">
        <f t="shared" si="3"/>
        <v>6514425.8600000003</v>
      </c>
      <c r="E31" s="15">
        <f t="shared" si="4"/>
        <v>0</v>
      </c>
      <c r="F31" s="15">
        <f t="shared" si="0"/>
        <v>0</v>
      </c>
      <c r="G31" s="457"/>
      <c r="H31" s="16" t="s">
        <v>35</v>
      </c>
      <c r="I31" s="13"/>
      <c r="J31" s="451"/>
      <c r="K31" s="451"/>
    </row>
    <row r="32" spans="1:20" ht="12" customHeight="1" x14ac:dyDescent="0.25">
      <c r="A32" s="449"/>
      <c r="B32" s="506"/>
      <c r="C32" s="13" t="s">
        <v>36</v>
      </c>
      <c r="D32" s="15">
        <f t="shared" si="3"/>
        <v>3492710</v>
      </c>
      <c r="E32" s="15">
        <f t="shared" si="4"/>
        <v>0</v>
      </c>
      <c r="F32" s="15">
        <f t="shared" si="0"/>
        <v>0</v>
      </c>
      <c r="G32" s="457"/>
      <c r="H32" s="16" t="s">
        <v>37</v>
      </c>
      <c r="I32" s="13"/>
      <c r="J32" s="451"/>
      <c r="K32" s="451"/>
    </row>
    <row r="33" spans="1:20" s="22" customFormat="1" ht="12" customHeight="1" x14ac:dyDescent="0.25">
      <c r="A33" s="449"/>
      <c r="B33" s="506" t="s">
        <v>41</v>
      </c>
      <c r="C33" s="17" t="s">
        <v>28</v>
      </c>
      <c r="D33" s="18">
        <f>D34+D35+D36+D37</f>
        <v>49450420.219999999</v>
      </c>
      <c r="E33" s="18">
        <f>E34+E35+E36+E37</f>
        <v>0</v>
      </c>
      <c r="F33" s="18">
        <f t="shared" si="0"/>
        <v>0</v>
      </c>
      <c r="G33" s="457"/>
      <c r="H33" s="19" t="s">
        <v>39</v>
      </c>
      <c r="I33" s="17"/>
      <c r="J33" s="451"/>
      <c r="K33" s="451"/>
      <c r="L33" s="20"/>
      <c r="M33" s="20"/>
      <c r="N33" s="20"/>
      <c r="O33" s="20"/>
      <c r="P33" s="20"/>
      <c r="Q33" s="21"/>
      <c r="R33" s="21"/>
      <c r="S33" s="21"/>
      <c r="T33" s="21"/>
    </row>
    <row r="34" spans="1:20" ht="12" customHeight="1" x14ac:dyDescent="0.25">
      <c r="A34" s="449"/>
      <c r="B34" s="506"/>
      <c r="C34" s="13" t="s">
        <v>30</v>
      </c>
      <c r="D34" s="15">
        <f>D319</f>
        <v>46720420.219999999</v>
      </c>
      <c r="E34" s="15">
        <f>E174</f>
        <v>0</v>
      </c>
      <c r="F34" s="15">
        <f t="shared" si="0"/>
        <v>0</v>
      </c>
      <c r="G34" s="457"/>
      <c r="H34" s="16" t="s">
        <v>31</v>
      </c>
      <c r="I34" s="13"/>
      <c r="J34" s="451"/>
      <c r="K34" s="451"/>
    </row>
    <row r="35" spans="1:20" ht="12" customHeight="1" x14ac:dyDescent="0.25">
      <c r="A35" s="449"/>
      <c r="B35" s="506"/>
      <c r="C35" s="13" t="s">
        <v>32</v>
      </c>
      <c r="D35" s="15">
        <f t="shared" ref="D35:D37" si="5">D320</f>
        <v>0</v>
      </c>
      <c r="E35" s="15">
        <f t="shared" ref="E35:E37" si="6">E175</f>
        <v>0</v>
      </c>
      <c r="F35" s="15">
        <v>0</v>
      </c>
      <c r="G35" s="457"/>
      <c r="H35" s="16" t="s">
        <v>33</v>
      </c>
      <c r="I35" s="13"/>
      <c r="J35" s="451"/>
      <c r="K35" s="451"/>
    </row>
    <row r="36" spans="1:20" ht="12" customHeight="1" x14ac:dyDescent="0.25">
      <c r="A36" s="449"/>
      <c r="B36" s="506"/>
      <c r="C36" s="13" t="s">
        <v>34</v>
      </c>
      <c r="D36" s="15">
        <f t="shared" si="5"/>
        <v>0</v>
      </c>
      <c r="E36" s="15">
        <f t="shared" si="6"/>
        <v>0</v>
      </c>
      <c r="F36" s="15">
        <v>0</v>
      </c>
      <c r="G36" s="457"/>
      <c r="H36" s="16" t="s">
        <v>35</v>
      </c>
      <c r="I36" s="13"/>
      <c r="J36" s="451"/>
      <c r="K36" s="451"/>
    </row>
    <row r="37" spans="1:20" ht="12" customHeight="1" x14ac:dyDescent="0.25">
      <c r="A37" s="449"/>
      <c r="B37" s="506"/>
      <c r="C37" s="13" t="s">
        <v>36</v>
      </c>
      <c r="D37" s="15">
        <f t="shared" si="5"/>
        <v>2730000</v>
      </c>
      <c r="E37" s="15">
        <f t="shared" si="6"/>
        <v>0</v>
      </c>
      <c r="F37" s="15">
        <f t="shared" si="0"/>
        <v>0</v>
      </c>
      <c r="G37" s="457"/>
      <c r="H37" s="16" t="s">
        <v>37</v>
      </c>
      <c r="I37" s="13"/>
      <c r="J37" s="451"/>
      <c r="K37" s="451"/>
    </row>
    <row r="38" spans="1:20" ht="12" customHeight="1" x14ac:dyDescent="0.25">
      <c r="A38" s="507" t="s">
        <v>42</v>
      </c>
      <c r="B38" s="508" t="s">
        <v>43</v>
      </c>
      <c r="C38" s="24" t="s">
        <v>28</v>
      </c>
      <c r="D38" s="25">
        <f>D39+D40+D41+D42</f>
        <v>781936284.1500001</v>
      </c>
      <c r="E38" s="25">
        <f>E39+E40+E41+E42</f>
        <v>434062456.25999999</v>
      </c>
      <c r="F38" s="25">
        <f>E38/D38</f>
        <v>0.5551123090954212</v>
      </c>
      <c r="G38" s="509"/>
      <c r="H38" s="26" t="s">
        <v>39</v>
      </c>
      <c r="I38" s="24"/>
      <c r="J38" s="510"/>
      <c r="K38" s="510"/>
    </row>
    <row r="39" spans="1:20" ht="12" customHeight="1" x14ac:dyDescent="0.25">
      <c r="A39" s="507"/>
      <c r="B39" s="508"/>
      <c r="C39" s="24" t="s">
        <v>30</v>
      </c>
      <c r="D39" s="25">
        <f>D44+D74</f>
        <v>252308039.10000002</v>
      </c>
      <c r="E39" s="25">
        <f>E44+E74</f>
        <v>136722469.63999999</v>
      </c>
      <c r="F39" s="25">
        <f t="shared" ref="F39:F42" si="7">E39/D39</f>
        <v>0.54188709217390918</v>
      </c>
      <c r="G39" s="509"/>
      <c r="H39" s="26" t="s">
        <v>31</v>
      </c>
      <c r="I39" s="24"/>
      <c r="J39" s="510"/>
      <c r="K39" s="510"/>
      <c r="L39" s="7">
        <f>'[1]01 07 2021'!H9+'[1]01 07 2021'!H10+'[1]01 07 2021'!H11+'[1]01 07 2021'!H12+'[1]01 07 2021'!H72+'[1]01 07 2021'!H73+'[1]01 07 2021'!H17+'[1]01 07 2021'!H18+'[1]01 07 2021'!H19+'[1]01 07 2021'!H20+'[1]01 07 2021'!H21+'[1]01 07 2021'!H22+'[1]01 07 2021'!H23</f>
        <v>252308039.10000002</v>
      </c>
      <c r="M39" s="7">
        <f>'[1]01 07 2021'!I9+'[1]01 07 2021'!I10+'[1]01 07 2021'!I11+'[1]01 07 2021'!I12+'[1]01 07 2021'!I72+'[1]01 07 2021'!I73+'[1]01 07 2021'!I17+'[1]01 07 2021'!I18+'[1]01 07 2021'!I19+'[1]01 07 2021'!I20+'[1]01 07 2021'!I21+'[1]01 07 2021'!I22+'[1]01 07 2021'!I23</f>
        <v>0</v>
      </c>
      <c r="N39" s="7">
        <f>'[1]01 07 2021'!J9+'[1]01 07 2021'!J10+'[1]01 07 2021'!J11+'[1]01 07 2021'!J12+'[1]01 07 2021'!J72+'[1]01 07 2021'!J73+'[1]01 07 2021'!J17+'[1]01 07 2021'!J18+'[1]01 07 2021'!J19+'[1]01 07 2021'!J20+'[1]01 07 2021'!J21+'[1]01 07 2021'!J22+'[1]01 07 2021'!J23</f>
        <v>252308039.10000002</v>
      </c>
      <c r="O39" s="7">
        <f>'[1]01 07 2021'!K9+'[1]01 07 2021'!K10+'[1]01 07 2021'!K11+'[1]01 07 2021'!K12+'[1]01 07 2021'!K72+'[1]01 07 2021'!K73+'[1]01 07 2021'!K17+'[1]01 07 2021'!K18+'[1]01 07 2021'!K19+'[1]01 07 2021'!K20+'[1]01 07 2021'!K21+'[1]01 07 2021'!K22+'[1]01 07 2021'!K23</f>
        <v>136729269.63999999</v>
      </c>
      <c r="P39" s="7">
        <f>'[1]01 07 2021'!L9+'[1]01 07 2021'!L10+'[1]01 07 2021'!L11+'[1]01 07 2021'!L12+'[1]01 07 2021'!L72+'[1]01 07 2021'!L73+'[1]01 07 2021'!L17+'[1]01 07 2021'!L18+'[1]01 07 2021'!L19+'[1]01 07 2021'!L20+'[1]01 07 2021'!L21+'[1]01 07 2021'!L22+'[1]01 07 2021'!L23</f>
        <v>115578769.45999999</v>
      </c>
      <c r="Q39" s="7">
        <f>'[1]01 07 2021'!M9+'[1]01 07 2021'!M10+'[1]01 07 2021'!M11+'[1]01 07 2021'!M12+'[1]01 07 2021'!M72+'[1]01 07 2021'!M73+'[1]01 07 2021'!M17+'[1]01 07 2021'!M18+'[1]01 07 2021'!M19+'[1]01 07 2021'!M20+'[1]01 07 2021'!M21+'[1]01 07 2021'!M22+'[1]01 07 2021'!M23</f>
        <v>136722469.63999999</v>
      </c>
    </row>
    <row r="40" spans="1:20" ht="12" customHeight="1" x14ac:dyDescent="0.25">
      <c r="A40" s="507"/>
      <c r="B40" s="508"/>
      <c r="C40" s="24" t="s">
        <v>32</v>
      </c>
      <c r="D40" s="25">
        <f t="shared" ref="D40:E42" si="8">D45+D75</f>
        <v>465562687.05000001</v>
      </c>
      <c r="E40" s="25">
        <f t="shared" si="8"/>
        <v>261384897.40000001</v>
      </c>
      <c r="F40" s="25">
        <f t="shared" si="7"/>
        <v>0.56143867339593745</v>
      </c>
      <c r="G40" s="509"/>
      <c r="H40" s="26" t="s">
        <v>33</v>
      </c>
      <c r="I40" s="24"/>
      <c r="J40" s="510"/>
      <c r="K40" s="510"/>
      <c r="L40" s="7">
        <f>'[1]01 07 2021'!H15+'[1]01 07 2021'!H16+'[1]01 07 2021'!H13+'[1]01 07 2021'!H14+'[1]01 07 2021'!H74+'[1]01 07 2021'!H75+'[1]01 07 2021'!H113+'[1]01 07 2021'!H114+'[1]01 07 2021'!H115+'[1]01 07 2021'!H116</f>
        <v>465562687.05000001</v>
      </c>
      <c r="M40" s="7">
        <f>'[1]01 07 2021'!I15+'[1]01 07 2021'!I16+'[1]01 07 2021'!I13+'[1]01 07 2021'!I14+'[1]01 07 2021'!I74+'[1]01 07 2021'!I75+'[1]01 07 2021'!I113+'[1]01 07 2021'!I114+'[1]01 07 2021'!I115+'[1]01 07 2021'!I116</f>
        <v>0</v>
      </c>
      <c r="N40" s="7">
        <f>'[1]01 07 2021'!J15+'[1]01 07 2021'!J16+'[1]01 07 2021'!J13+'[1]01 07 2021'!J14+'[1]01 07 2021'!J74+'[1]01 07 2021'!J75+'[1]01 07 2021'!J113+'[1]01 07 2021'!J114+'[1]01 07 2021'!J115+'[1]01 07 2021'!J116</f>
        <v>465562687.05000001</v>
      </c>
      <c r="O40" s="7">
        <f>'[1]01 07 2021'!K15+'[1]01 07 2021'!K16+'[1]01 07 2021'!K13+'[1]01 07 2021'!K14+'[1]01 07 2021'!K74+'[1]01 07 2021'!K75+'[1]01 07 2021'!K113+'[1]01 07 2021'!K114+'[1]01 07 2021'!K115+'[1]01 07 2021'!K116</f>
        <v>261394017.80000001</v>
      </c>
      <c r="P40" s="7">
        <f>'[1]01 07 2021'!L15+'[1]01 07 2021'!L16+'[1]01 07 2021'!L13+'[1]01 07 2021'!L14+'[1]01 07 2021'!L74+'[1]01 07 2021'!L75+'[1]01 07 2021'!L113+'[1]01 07 2021'!L114+'[1]01 07 2021'!L115+'[1]01 07 2021'!L116</f>
        <v>204168669.25</v>
      </c>
      <c r="Q40" s="7">
        <f>'[1]01 07 2021'!M15+'[1]01 07 2021'!M16+'[1]01 07 2021'!M13+'[1]01 07 2021'!M14+'[1]01 07 2021'!M74+'[1]01 07 2021'!M75+'[1]01 07 2021'!M113+'[1]01 07 2021'!M114+'[1]01 07 2021'!M115+'[1]01 07 2021'!M116</f>
        <v>261384897.40000001</v>
      </c>
    </row>
    <row r="41" spans="1:20" ht="12" customHeight="1" x14ac:dyDescent="0.25">
      <c r="A41" s="507"/>
      <c r="B41" s="508"/>
      <c r="C41" s="24" t="s">
        <v>34</v>
      </c>
      <c r="D41" s="25">
        <f t="shared" si="8"/>
        <v>0</v>
      </c>
      <c r="E41" s="25">
        <f t="shared" si="8"/>
        <v>0</v>
      </c>
      <c r="F41" s="25">
        <v>0</v>
      </c>
      <c r="G41" s="509"/>
      <c r="H41" s="26" t="s">
        <v>35</v>
      </c>
      <c r="I41" s="24"/>
      <c r="J41" s="510"/>
      <c r="K41" s="510"/>
    </row>
    <row r="42" spans="1:20" ht="12" customHeight="1" x14ac:dyDescent="0.25">
      <c r="A42" s="507"/>
      <c r="B42" s="508"/>
      <c r="C42" s="24" t="s">
        <v>36</v>
      </c>
      <c r="D42" s="25">
        <f t="shared" si="8"/>
        <v>64065558</v>
      </c>
      <c r="E42" s="25">
        <f t="shared" si="8"/>
        <v>35955089.220000006</v>
      </c>
      <c r="F42" s="25">
        <f t="shared" si="7"/>
        <v>0.56122338339736311</v>
      </c>
      <c r="G42" s="509"/>
      <c r="H42" s="26" t="s">
        <v>37</v>
      </c>
      <c r="I42" s="24"/>
      <c r="J42" s="510"/>
      <c r="K42" s="510"/>
    </row>
    <row r="43" spans="1:20" s="22" customFormat="1" ht="12" customHeight="1" x14ac:dyDescent="0.25">
      <c r="A43" s="502" t="s">
        <v>44</v>
      </c>
      <c r="B43" s="503" t="s">
        <v>45</v>
      </c>
      <c r="C43" s="27" t="s">
        <v>28</v>
      </c>
      <c r="D43" s="28">
        <f>D44+D45+D46+D47</f>
        <v>780234262.1500001</v>
      </c>
      <c r="E43" s="28">
        <f>E44+E45+E46+E47</f>
        <v>433398456.25999999</v>
      </c>
      <c r="F43" s="28">
        <f>E43/D43</f>
        <v>0.55547221813322412</v>
      </c>
      <c r="G43" s="504"/>
      <c r="H43" s="29" t="s">
        <v>39</v>
      </c>
      <c r="I43" s="27"/>
      <c r="J43" s="505"/>
      <c r="K43" s="505"/>
      <c r="L43" s="20"/>
      <c r="M43" s="20"/>
      <c r="N43" s="20"/>
      <c r="O43" s="20"/>
      <c r="P43" s="20"/>
      <c r="Q43" s="21"/>
      <c r="R43" s="21"/>
      <c r="S43" s="21"/>
      <c r="T43" s="21"/>
    </row>
    <row r="44" spans="1:20" ht="12" customHeight="1" x14ac:dyDescent="0.25">
      <c r="A44" s="502"/>
      <c r="B44" s="503"/>
      <c r="C44" s="30" t="s">
        <v>30</v>
      </c>
      <c r="D44" s="31">
        <f>D49+D54+D59+D64+D69</f>
        <v>250606017.10000002</v>
      </c>
      <c r="E44" s="31">
        <f>E49+E54+E59+E64+E69</f>
        <v>136058469.63999999</v>
      </c>
      <c r="F44" s="31">
        <f t="shared" ref="F44:F70" si="9">E44/D44</f>
        <v>0.54291780865623906</v>
      </c>
      <c r="G44" s="504"/>
      <c r="H44" s="32" t="s">
        <v>31</v>
      </c>
      <c r="I44" s="30"/>
      <c r="J44" s="505"/>
      <c r="K44" s="505"/>
    </row>
    <row r="45" spans="1:20" ht="12" customHeight="1" x14ac:dyDescent="0.25">
      <c r="A45" s="502"/>
      <c r="B45" s="503"/>
      <c r="C45" s="30" t="s">
        <v>32</v>
      </c>
      <c r="D45" s="31">
        <f t="shared" ref="D45:E47" si="10">D50+D55+D60+D65+D70</f>
        <v>465562687.05000001</v>
      </c>
      <c r="E45" s="31">
        <f t="shared" si="10"/>
        <v>261384897.40000001</v>
      </c>
      <c r="F45" s="31">
        <f t="shared" si="9"/>
        <v>0.56143867339593745</v>
      </c>
      <c r="G45" s="504"/>
      <c r="H45" s="32" t="s">
        <v>33</v>
      </c>
      <c r="I45" s="30"/>
      <c r="J45" s="505"/>
      <c r="K45" s="505"/>
    </row>
    <row r="46" spans="1:20" ht="12" customHeight="1" x14ac:dyDescent="0.25">
      <c r="A46" s="502"/>
      <c r="B46" s="503"/>
      <c r="C46" s="30" t="s">
        <v>34</v>
      </c>
      <c r="D46" s="31">
        <f t="shared" si="10"/>
        <v>0</v>
      </c>
      <c r="E46" s="31">
        <f t="shared" si="10"/>
        <v>0</v>
      </c>
      <c r="F46" s="31">
        <v>0</v>
      </c>
      <c r="G46" s="504"/>
      <c r="H46" s="32" t="s">
        <v>35</v>
      </c>
      <c r="I46" s="30"/>
      <c r="J46" s="505"/>
      <c r="K46" s="505"/>
    </row>
    <row r="47" spans="1:20" ht="12" customHeight="1" x14ac:dyDescent="0.25">
      <c r="A47" s="502"/>
      <c r="B47" s="503"/>
      <c r="C47" s="30" t="s">
        <v>36</v>
      </c>
      <c r="D47" s="31">
        <f t="shared" si="10"/>
        <v>64065558</v>
      </c>
      <c r="E47" s="31">
        <f t="shared" si="10"/>
        <v>35955089.220000006</v>
      </c>
      <c r="F47" s="31">
        <f t="shared" si="9"/>
        <v>0.56122338339736311</v>
      </c>
      <c r="G47" s="504"/>
      <c r="H47" s="32" t="s">
        <v>37</v>
      </c>
      <c r="I47" s="30"/>
      <c r="J47" s="505"/>
      <c r="K47" s="505"/>
    </row>
    <row r="48" spans="1:20" s="22" customFormat="1" ht="12" customHeight="1" x14ac:dyDescent="0.25">
      <c r="A48" s="449" t="s">
        <v>46</v>
      </c>
      <c r="B48" s="450" t="s">
        <v>47</v>
      </c>
      <c r="C48" s="17" t="s">
        <v>28</v>
      </c>
      <c r="D48" s="18">
        <f>D49+D50+D51+D52</f>
        <v>430952120</v>
      </c>
      <c r="E48" s="18">
        <f>E49+E50+E51+E52</f>
        <v>245482986</v>
      </c>
      <c r="F48" s="18">
        <f t="shared" si="9"/>
        <v>0.56962937321204032</v>
      </c>
      <c r="G48" s="450" t="s">
        <v>48</v>
      </c>
      <c r="H48" s="450" t="s">
        <v>49</v>
      </c>
      <c r="I48" s="449" t="s">
        <v>50</v>
      </c>
      <c r="J48" s="451"/>
      <c r="K48" s="451"/>
      <c r="L48" s="20"/>
      <c r="M48" s="20"/>
      <c r="N48" s="20"/>
      <c r="O48" s="20"/>
      <c r="P48" s="20"/>
      <c r="Q48" s="21"/>
      <c r="R48" s="21"/>
      <c r="S48" s="21"/>
      <c r="T48" s="21"/>
    </row>
    <row r="49" spans="1:20" ht="12" customHeight="1" x14ac:dyDescent="0.25">
      <c r="A49" s="449"/>
      <c r="B49" s="450"/>
      <c r="C49" s="13" t="s">
        <v>30</v>
      </c>
      <c r="D49" s="15">
        <v>0</v>
      </c>
      <c r="E49" s="15">
        <v>0</v>
      </c>
      <c r="F49" s="15">
        <v>0</v>
      </c>
      <c r="G49" s="450"/>
      <c r="H49" s="450"/>
      <c r="I49" s="449"/>
      <c r="J49" s="451"/>
      <c r="K49" s="451"/>
    </row>
    <row r="50" spans="1:20" ht="12" customHeight="1" x14ac:dyDescent="0.25">
      <c r="A50" s="449"/>
      <c r="B50" s="450"/>
      <c r="C50" s="13" t="s">
        <v>32</v>
      </c>
      <c r="D50" s="15">
        <v>430952120</v>
      </c>
      <c r="E50" s="15">
        <v>245482986</v>
      </c>
      <c r="F50" s="15">
        <f t="shared" si="9"/>
        <v>0.56962937321204032</v>
      </c>
      <c r="G50" s="450"/>
      <c r="H50" s="450"/>
      <c r="I50" s="449"/>
      <c r="J50" s="451"/>
      <c r="K50" s="451"/>
    </row>
    <row r="51" spans="1:20" ht="12" customHeight="1" x14ac:dyDescent="0.25">
      <c r="A51" s="449"/>
      <c r="B51" s="450"/>
      <c r="C51" s="13" t="s">
        <v>34</v>
      </c>
      <c r="D51" s="15">
        <v>0</v>
      </c>
      <c r="E51" s="15">
        <v>0</v>
      </c>
      <c r="F51" s="15">
        <v>0</v>
      </c>
      <c r="G51" s="450"/>
      <c r="H51" s="450"/>
      <c r="I51" s="449"/>
      <c r="J51" s="451"/>
      <c r="K51" s="451"/>
    </row>
    <row r="52" spans="1:20" ht="12" customHeight="1" x14ac:dyDescent="0.25">
      <c r="A52" s="449"/>
      <c r="B52" s="450"/>
      <c r="C52" s="13" t="s">
        <v>36</v>
      </c>
      <c r="D52" s="15">
        <v>0</v>
      </c>
      <c r="E52" s="15">
        <v>0</v>
      </c>
      <c r="F52" s="15">
        <v>0</v>
      </c>
      <c r="G52" s="450"/>
      <c r="H52" s="450"/>
      <c r="I52" s="449"/>
      <c r="J52" s="451"/>
      <c r="K52" s="451"/>
    </row>
    <row r="53" spans="1:20" s="22" customFormat="1" ht="12" customHeight="1" x14ac:dyDescent="0.25">
      <c r="A53" s="449" t="s">
        <v>51</v>
      </c>
      <c r="B53" s="450" t="s">
        <v>52</v>
      </c>
      <c r="C53" s="17" t="s">
        <v>28</v>
      </c>
      <c r="D53" s="18">
        <f>D54+D55+D56+D57</f>
        <v>307117881.86000001</v>
      </c>
      <c r="E53" s="18">
        <f>E54+E55+E56+E57</f>
        <v>168015434.31</v>
      </c>
      <c r="F53" s="18">
        <f t="shared" si="9"/>
        <v>0.54707148047663989</v>
      </c>
      <c r="G53" s="450" t="s">
        <v>48</v>
      </c>
      <c r="H53" s="450" t="s">
        <v>49</v>
      </c>
      <c r="I53" s="449" t="s">
        <v>50</v>
      </c>
      <c r="J53" s="451"/>
      <c r="K53" s="451"/>
      <c r="L53" s="20"/>
      <c r="M53" s="20"/>
      <c r="N53" s="20"/>
      <c r="O53" s="20"/>
      <c r="P53" s="20"/>
      <c r="Q53" s="21"/>
      <c r="R53" s="21"/>
      <c r="S53" s="21"/>
      <c r="T53" s="21"/>
    </row>
    <row r="54" spans="1:20" ht="12" customHeight="1" x14ac:dyDescent="0.25">
      <c r="A54" s="449"/>
      <c r="B54" s="450"/>
      <c r="C54" s="13" t="s">
        <v>30</v>
      </c>
      <c r="D54" s="15">
        <v>243052323.86000001</v>
      </c>
      <c r="E54" s="15">
        <v>132060345.08999999</v>
      </c>
      <c r="F54" s="15">
        <f t="shared" si="9"/>
        <v>0.54334121555681048</v>
      </c>
      <c r="G54" s="450"/>
      <c r="H54" s="450"/>
      <c r="I54" s="449"/>
      <c r="J54" s="451"/>
      <c r="K54" s="451"/>
    </row>
    <row r="55" spans="1:20" ht="12" customHeight="1" x14ac:dyDescent="0.25">
      <c r="A55" s="449"/>
      <c r="B55" s="450"/>
      <c r="C55" s="13" t="s">
        <v>32</v>
      </c>
      <c r="D55" s="15">
        <v>0</v>
      </c>
      <c r="E55" s="15">
        <v>0</v>
      </c>
      <c r="F55" s="15">
        <v>0</v>
      </c>
      <c r="G55" s="450"/>
      <c r="H55" s="450"/>
      <c r="I55" s="449"/>
      <c r="J55" s="451"/>
      <c r="K55" s="451"/>
    </row>
    <row r="56" spans="1:20" ht="12" customHeight="1" x14ac:dyDescent="0.25">
      <c r="A56" s="449"/>
      <c r="B56" s="450"/>
      <c r="C56" s="13" t="s">
        <v>34</v>
      </c>
      <c r="D56" s="15">
        <v>0</v>
      </c>
      <c r="E56" s="15">
        <v>0</v>
      </c>
      <c r="F56" s="15">
        <v>0</v>
      </c>
      <c r="G56" s="450"/>
      <c r="H56" s="450"/>
      <c r="I56" s="449"/>
      <c r="J56" s="451"/>
      <c r="K56" s="451"/>
    </row>
    <row r="57" spans="1:20" ht="12" customHeight="1" x14ac:dyDescent="0.25">
      <c r="A57" s="449"/>
      <c r="B57" s="450"/>
      <c r="C57" s="13" t="s">
        <v>36</v>
      </c>
      <c r="D57" s="15">
        <v>64065558</v>
      </c>
      <c r="E57" s="33">
        <v>35955089.220000006</v>
      </c>
      <c r="F57" s="15">
        <f t="shared" si="9"/>
        <v>0.56122338339736311</v>
      </c>
      <c r="G57" s="450"/>
      <c r="H57" s="450"/>
      <c r="I57" s="449"/>
      <c r="J57" s="451"/>
      <c r="K57" s="451"/>
    </row>
    <row r="58" spans="1:20" s="22" customFormat="1" ht="12" customHeight="1" x14ac:dyDescent="0.25">
      <c r="A58" s="449" t="s">
        <v>53</v>
      </c>
      <c r="B58" s="450" t="s">
        <v>54</v>
      </c>
      <c r="C58" s="17" t="s">
        <v>28</v>
      </c>
      <c r="D58" s="18">
        <f>D59+D60+D61+D62</f>
        <v>505000</v>
      </c>
      <c r="E58" s="18">
        <f>E59+E60+E61+E62</f>
        <v>124612.23</v>
      </c>
      <c r="F58" s="18">
        <f t="shared" si="9"/>
        <v>0.24675689108910889</v>
      </c>
      <c r="G58" s="457"/>
      <c r="H58" s="19" t="s">
        <v>39</v>
      </c>
      <c r="I58" s="17"/>
      <c r="J58" s="451"/>
      <c r="K58" s="451"/>
      <c r="L58" s="20"/>
      <c r="M58" s="20"/>
      <c r="N58" s="20"/>
      <c r="O58" s="20"/>
      <c r="P58" s="20"/>
      <c r="Q58" s="21"/>
      <c r="R58" s="21"/>
      <c r="S58" s="21"/>
      <c r="T58" s="21"/>
    </row>
    <row r="59" spans="1:20" ht="12" customHeight="1" x14ac:dyDescent="0.25">
      <c r="A59" s="449"/>
      <c r="B59" s="450"/>
      <c r="C59" s="13" t="s">
        <v>30</v>
      </c>
      <c r="D59" s="15">
        <v>0</v>
      </c>
      <c r="E59" s="15"/>
      <c r="F59" s="15">
        <v>0</v>
      </c>
      <c r="G59" s="457"/>
      <c r="H59" s="16" t="s">
        <v>31</v>
      </c>
      <c r="I59" s="13"/>
      <c r="J59" s="451"/>
      <c r="K59" s="451"/>
    </row>
    <row r="60" spans="1:20" ht="12" customHeight="1" x14ac:dyDescent="0.25">
      <c r="A60" s="449"/>
      <c r="B60" s="450"/>
      <c r="C60" s="13" t="s">
        <v>32</v>
      </c>
      <c r="D60" s="15">
        <v>505000</v>
      </c>
      <c r="E60" s="15">
        <v>124612.23</v>
      </c>
      <c r="F60" s="15">
        <f t="shared" si="9"/>
        <v>0.24675689108910889</v>
      </c>
      <c r="G60" s="457"/>
      <c r="H60" s="16" t="s">
        <v>33</v>
      </c>
      <c r="I60" s="13"/>
      <c r="J60" s="451"/>
      <c r="K60" s="451"/>
    </row>
    <row r="61" spans="1:20" ht="12" customHeight="1" x14ac:dyDescent="0.25">
      <c r="A61" s="449"/>
      <c r="B61" s="450"/>
      <c r="C61" s="13" t="s">
        <v>34</v>
      </c>
      <c r="D61" s="15">
        <v>0</v>
      </c>
      <c r="E61" s="15"/>
      <c r="F61" s="15">
        <v>0</v>
      </c>
      <c r="G61" s="457"/>
      <c r="H61" s="16" t="s">
        <v>35</v>
      </c>
      <c r="I61" s="13"/>
      <c r="J61" s="451"/>
      <c r="K61" s="451"/>
    </row>
    <row r="62" spans="1:20" ht="12" customHeight="1" x14ac:dyDescent="0.25">
      <c r="A62" s="449"/>
      <c r="B62" s="450"/>
      <c r="C62" s="13" t="s">
        <v>36</v>
      </c>
      <c r="D62" s="15">
        <v>0</v>
      </c>
      <c r="E62" s="15"/>
      <c r="F62" s="15">
        <v>0</v>
      </c>
      <c r="G62" s="457"/>
      <c r="H62" s="16" t="s">
        <v>37</v>
      </c>
      <c r="I62" s="13"/>
      <c r="J62" s="451"/>
      <c r="K62" s="451"/>
    </row>
    <row r="63" spans="1:20" s="22" customFormat="1" ht="12" customHeight="1" x14ac:dyDescent="0.25">
      <c r="A63" s="449" t="s">
        <v>55</v>
      </c>
      <c r="B63" s="450" t="s">
        <v>56</v>
      </c>
      <c r="C63" s="17" t="s">
        <v>28</v>
      </c>
      <c r="D63" s="18">
        <f>D64+D65+D66+D67</f>
        <v>20198900</v>
      </c>
      <c r="E63" s="18">
        <f>E64+E65+E66+E67</f>
        <v>8858910.9600000009</v>
      </c>
      <c r="F63" s="18">
        <f t="shared" si="9"/>
        <v>0.43858383179282046</v>
      </c>
      <c r="G63" s="457"/>
      <c r="H63" s="19" t="s">
        <v>39</v>
      </c>
      <c r="I63" s="17"/>
      <c r="J63" s="451"/>
      <c r="K63" s="451"/>
      <c r="L63" s="20"/>
      <c r="M63" s="20"/>
      <c r="N63" s="20"/>
      <c r="O63" s="20"/>
      <c r="P63" s="20"/>
      <c r="Q63" s="21"/>
      <c r="R63" s="21"/>
      <c r="S63" s="21"/>
      <c r="T63" s="21"/>
    </row>
    <row r="64" spans="1:20" ht="12" customHeight="1" x14ac:dyDescent="0.25">
      <c r="A64" s="449"/>
      <c r="B64" s="450"/>
      <c r="C64" s="13" t="s">
        <v>30</v>
      </c>
      <c r="D64" s="15">
        <v>0</v>
      </c>
      <c r="E64" s="15"/>
      <c r="F64" s="15">
        <v>0</v>
      </c>
      <c r="G64" s="457"/>
      <c r="H64" s="16" t="s">
        <v>31</v>
      </c>
      <c r="I64" s="13"/>
      <c r="J64" s="451"/>
      <c r="K64" s="451"/>
    </row>
    <row r="65" spans="1:20" ht="12" customHeight="1" x14ac:dyDescent="0.25">
      <c r="A65" s="449"/>
      <c r="B65" s="450"/>
      <c r="C65" s="13" t="s">
        <v>32</v>
      </c>
      <c r="D65" s="15">
        <v>20198900</v>
      </c>
      <c r="E65" s="15">
        <v>8858910.9600000009</v>
      </c>
      <c r="F65" s="15">
        <f t="shared" si="9"/>
        <v>0.43858383179282046</v>
      </c>
      <c r="G65" s="457"/>
      <c r="H65" s="16" t="s">
        <v>33</v>
      </c>
      <c r="I65" s="13"/>
      <c r="J65" s="451"/>
      <c r="K65" s="451"/>
    </row>
    <row r="66" spans="1:20" ht="12" customHeight="1" x14ac:dyDescent="0.25">
      <c r="A66" s="449"/>
      <c r="B66" s="450"/>
      <c r="C66" s="13" t="s">
        <v>34</v>
      </c>
      <c r="D66" s="15">
        <v>0</v>
      </c>
      <c r="E66" s="15"/>
      <c r="F66" s="15">
        <v>0</v>
      </c>
      <c r="G66" s="457"/>
      <c r="H66" s="16" t="s">
        <v>35</v>
      </c>
      <c r="I66" s="13"/>
      <c r="J66" s="451"/>
      <c r="K66" s="451"/>
    </row>
    <row r="67" spans="1:20" ht="12" customHeight="1" x14ac:dyDescent="0.25">
      <c r="A67" s="449"/>
      <c r="B67" s="450"/>
      <c r="C67" s="13" t="s">
        <v>36</v>
      </c>
      <c r="D67" s="15">
        <v>0</v>
      </c>
      <c r="E67" s="15"/>
      <c r="F67" s="15">
        <v>0</v>
      </c>
      <c r="G67" s="457"/>
      <c r="H67" s="16" t="s">
        <v>37</v>
      </c>
      <c r="I67" s="13"/>
      <c r="J67" s="451"/>
      <c r="K67" s="451"/>
    </row>
    <row r="68" spans="1:20" s="22" customFormat="1" ht="15" customHeight="1" x14ac:dyDescent="0.25">
      <c r="A68" s="449" t="s">
        <v>57</v>
      </c>
      <c r="B68" s="450" t="s">
        <v>58</v>
      </c>
      <c r="C68" s="17" t="s">
        <v>28</v>
      </c>
      <c r="D68" s="18">
        <f>D69+D70+D71+D72</f>
        <v>21460360.289999999</v>
      </c>
      <c r="E68" s="18">
        <f>E69+E70+E71+E72</f>
        <v>10916512.76</v>
      </c>
      <c r="F68" s="18">
        <f t="shared" si="9"/>
        <v>0.50868264150657461</v>
      </c>
      <c r="G68" s="450" t="s">
        <v>48</v>
      </c>
      <c r="H68" s="450" t="s">
        <v>49</v>
      </c>
      <c r="I68" s="449" t="s">
        <v>50</v>
      </c>
      <c r="J68" s="451"/>
      <c r="K68" s="451"/>
      <c r="L68" s="20"/>
      <c r="M68" s="20"/>
      <c r="N68" s="20"/>
      <c r="O68" s="20"/>
      <c r="P68" s="20"/>
      <c r="Q68" s="21"/>
      <c r="R68" s="21"/>
      <c r="S68" s="21"/>
      <c r="T68" s="21"/>
    </row>
    <row r="69" spans="1:20" ht="15" customHeight="1" x14ac:dyDescent="0.25">
      <c r="A69" s="449"/>
      <c r="B69" s="450"/>
      <c r="C69" s="13" t="s">
        <v>30</v>
      </c>
      <c r="D69" s="15">
        <v>7553693.2400000002</v>
      </c>
      <c r="E69" s="15">
        <v>3998124.55</v>
      </c>
      <c r="F69" s="15">
        <f t="shared" si="9"/>
        <v>0.52929400532553261</v>
      </c>
      <c r="G69" s="450"/>
      <c r="H69" s="450"/>
      <c r="I69" s="449"/>
      <c r="J69" s="451"/>
      <c r="K69" s="451"/>
    </row>
    <row r="70" spans="1:20" ht="15" customHeight="1" x14ac:dyDescent="0.25">
      <c r="A70" s="449"/>
      <c r="B70" s="450"/>
      <c r="C70" s="13" t="s">
        <v>32</v>
      </c>
      <c r="D70" s="15">
        <v>13906667.049999999</v>
      </c>
      <c r="E70" s="15">
        <v>6918388.21</v>
      </c>
      <c r="F70" s="15">
        <f t="shared" si="9"/>
        <v>0.49748715383244907</v>
      </c>
      <c r="G70" s="450"/>
      <c r="H70" s="450"/>
      <c r="I70" s="449"/>
      <c r="J70" s="451"/>
      <c r="K70" s="451"/>
    </row>
    <row r="71" spans="1:20" ht="15" customHeight="1" x14ac:dyDescent="0.25">
      <c r="A71" s="449"/>
      <c r="B71" s="450"/>
      <c r="C71" s="13" t="s">
        <v>34</v>
      </c>
      <c r="D71" s="15">
        <v>0</v>
      </c>
      <c r="E71" s="15">
        <v>0</v>
      </c>
      <c r="F71" s="15">
        <v>0</v>
      </c>
      <c r="G71" s="450"/>
      <c r="H71" s="450"/>
      <c r="I71" s="449"/>
      <c r="J71" s="451"/>
      <c r="K71" s="451"/>
    </row>
    <row r="72" spans="1:20" ht="15" customHeight="1" x14ac:dyDescent="0.25">
      <c r="A72" s="449"/>
      <c r="B72" s="450"/>
      <c r="C72" s="13" t="s">
        <v>36</v>
      </c>
      <c r="D72" s="15">
        <v>0</v>
      </c>
      <c r="E72" s="15">
        <v>0</v>
      </c>
      <c r="F72" s="15">
        <v>0</v>
      </c>
      <c r="G72" s="450"/>
      <c r="H72" s="450"/>
      <c r="I72" s="449"/>
      <c r="J72" s="451"/>
      <c r="K72" s="451"/>
    </row>
    <row r="73" spans="1:20" s="22" customFormat="1" ht="12" customHeight="1" x14ac:dyDescent="0.25">
      <c r="A73" s="502" t="s">
        <v>59</v>
      </c>
      <c r="B73" s="503" t="s">
        <v>60</v>
      </c>
      <c r="C73" s="27" t="s">
        <v>28</v>
      </c>
      <c r="D73" s="28">
        <f>D74+D75+D76+D77</f>
        <v>1702022</v>
      </c>
      <c r="E73" s="28">
        <f>E74+E75+E76+E77</f>
        <v>664000</v>
      </c>
      <c r="F73" s="28">
        <f>E73/D73</f>
        <v>0.39012421696076782</v>
      </c>
      <c r="G73" s="504"/>
      <c r="H73" s="29" t="s">
        <v>39</v>
      </c>
      <c r="I73" s="27"/>
      <c r="J73" s="505"/>
      <c r="K73" s="505"/>
      <c r="L73" s="20"/>
      <c r="M73" s="20"/>
      <c r="N73" s="20"/>
      <c r="O73" s="20"/>
      <c r="P73" s="20"/>
      <c r="Q73" s="21"/>
      <c r="R73" s="21"/>
      <c r="S73" s="21"/>
      <c r="T73" s="21"/>
    </row>
    <row r="74" spans="1:20" ht="12" customHeight="1" x14ac:dyDescent="0.25">
      <c r="A74" s="502"/>
      <c r="B74" s="503"/>
      <c r="C74" s="30" t="s">
        <v>30</v>
      </c>
      <c r="D74" s="31">
        <f t="shared" ref="D74:E77" si="11">D79+D84+D89+D369+D374</f>
        <v>1702022</v>
      </c>
      <c r="E74" s="31">
        <f t="shared" si="11"/>
        <v>664000</v>
      </c>
      <c r="F74" s="31">
        <f t="shared" ref="F74:F84" si="12">E74/D74</f>
        <v>0.39012421696076782</v>
      </c>
      <c r="G74" s="504"/>
      <c r="H74" s="32" t="s">
        <v>31</v>
      </c>
      <c r="I74" s="30"/>
      <c r="J74" s="505"/>
      <c r="K74" s="505"/>
    </row>
    <row r="75" spans="1:20" ht="12" customHeight="1" x14ac:dyDescent="0.25">
      <c r="A75" s="502"/>
      <c r="B75" s="503"/>
      <c r="C75" s="30" t="s">
        <v>32</v>
      </c>
      <c r="D75" s="31">
        <f t="shared" si="11"/>
        <v>0</v>
      </c>
      <c r="E75" s="31">
        <f t="shared" si="11"/>
        <v>0</v>
      </c>
      <c r="F75" s="31">
        <v>0</v>
      </c>
      <c r="G75" s="504"/>
      <c r="H75" s="32" t="s">
        <v>33</v>
      </c>
      <c r="I75" s="30"/>
      <c r="J75" s="505"/>
      <c r="K75" s="505"/>
    </row>
    <row r="76" spans="1:20" ht="12" customHeight="1" x14ac:dyDescent="0.25">
      <c r="A76" s="502"/>
      <c r="B76" s="503"/>
      <c r="C76" s="30" t="s">
        <v>34</v>
      </c>
      <c r="D76" s="31">
        <f t="shared" si="11"/>
        <v>0</v>
      </c>
      <c r="E76" s="31">
        <f t="shared" si="11"/>
        <v>0</v>
      </c>
      <c r="F76" s="31">
        <v>0</v>
      </c>
      <c r="G76" s="504"/>
      <c r="H76" s="32" t="s">
        <v>35</v>
      </c>
      <c r="I76" s="30"/>
      <c r="J76" s="505"/>
      <c r="K76" s="505"/>
    </row>
    <row r="77" spans="1:20" ht="12" customHeight="1" x14ac:dyDescent="0.25">
      <c r="A77" s="502"/>
      <c r="B77" s="503"/>
      <c r="C77" s="30" t="s">
        <v>36</v>
      </c>
      <c r="D77" s="31">
        <f t="shared" si="11"/>
        <v>0</v>
      </c>
      <c r="E77" s="31">
        <f t="shared" si="11"/>
        <v>0</v>
      </c>
      <c r="F77" s="31">
        <v>0</v>
      </c>
      <c r="G77" s="504"/>
      <c r="H77" s="32" t="s">
        <v>37</v>
      </c>
      <c r="I77" s="30"/>
      <c r="J77" s="505"/>
      <c r="K77" s="505"/>
    </row>
    <row r="78" spans="1:20" s="22" customFormat="1" ht="12" customHeight="1" x14ac:dyDescent="0.25">
      <c r="A78" s="449" t="s">
        <v>61</v>
      </c>
      <c r="B78" s="450" t="s">
        <v>62</v>
      </c>
      <c r="C78" s="17" t="s">
        <v>28</v>
      </c>
      <c r="D78" s="18">
        <f>D79+D80+D81+D82</f>
        <v>0</v>
      </c>
      <c r="E78" s="18">
        <f>E79+E80+E81+E82</f>
        <v>0</v>
      </c>
      <c r="F78" s="18">
        <v>0</v>
      </c>
      <c r="G78" s="450" t="s">
        <v>48</v>
      </c>
      <c r="H78" s="450" t="s">
        <v>49</v>
      </c>
      <c r="I78" s="449" t="s">
        <v>50</v>
      </c>
      <c r="J78" s="451"/>
      <c r="K78" s="451"/>
      <c r="L78" s="20"/>
      <c r="M78" s="20"/>
      <c r="N78" s="20"/>
      <c r="O78" s="20"/>
      <c r="P78" s="20"/>
      <c r="Q78" s="21"/>
      <c r="R78" s="21"/>
      <c r="S78" s="21"/>
      <c r="T78" s="21"/>
    </row>
    <row r="79" spans="1:20" ht="12" customHeight="1" x14ac:dyDescent="0.25">
      <c r="A79" s="449"/>
      <c r="B79" s="450"/>
      <c r="C79" s="13" t="s">
        <v>30</v>
      </c>
      <c r="D79" s="15">
        <f>[1]табл.8!H61</f>
        <v>0</v>
      </c>
      <c r="E79" s="15">
        <v>0</v>
      </c>
      <c r="F79" s="15">
        <v>0</v>
      </c>
      <c r="G79" s="450"/>
      <c r="H79" s="450"/>
      <c r="I79" s="449"/>
      <c r="J79" s="451"/>
      <c r="K79" s="451"/>
    </row>
    <row r="80" spans="1:20" ht="12" customHeight="1" x14ac:dyDescent="0.25">
      <c r="A80" s="449"/>
      <c r="B80" s="450"/>
      <c r="C80" s="13" t="s">
        <v>32</v>
      </c>
      <c r="D80" s="15">
        <f>[1]табл.8!F61</f>
        <v>0</v>
      </c>
      <c r="E80" s="15">
        <v>0</v>
      </c>
      <c r="F80" s="15">
        <v>0</v>
      </c>
      <c r="G80" s="450"/>
      <c r="H80" s="450"/>
      <c r="I80" s="449"/>
      <c r="J80" s="451"/>
      <c r="K80" s="451"/>
    </row>
    <row r="81" spans="1:20" ht="12" customHeight="1" x14ac:dyDescent="0.25">
      <c r="A81" s="449"/>
      <c r="B81" s="450"/>
      <c r="C81" s="13" t="s">
        <v>34</v>
      </c>
      <c r="D81" s="15">
        <f>[1]табл.8!G61</f>
        <v>0</v>
      </c>
      <c r="E81" s="15">
        <v>0</v>
      </c>
      <c r="F81" s="15">
        <v>0</v>
      </c>
      <c r="G81" s="450"/>
      <c r="H81" s="450"/>
      <c r="I81" s="449"/>
      <c r="J81" s="451"/>
      <c r="K81" s="451"/>
    </row>
    <row r="82" spans="1:20" ht="12" customHeight="1" x14ac:dyDescent="0.25">
      <c r="A82" s="449"/>
      <c r="B82" s="450"/>
      <c r="C82" s="13" t="s">
        <v>36</v>
      </c>
      <c r="D82" s="15">
        <f>[1]табл.8!I61</f>
        <v>0</v>
      </c>
      <c r="E82" s="15">
        <v>0</v>
      </c>
      <c r="F82" s="15">
        <v>0</v>
      </c>
      <c r="G82" s="450"/>
      <c r="H82" s="450"/>
      <c r="I82" s="449"/>
      <c r="J82" s="451"/>
      <c r="K82" s="451"/>
    </row>
    <row r="83" spans="1:20" s="22" customFormat="1" ht="12" customHeight="1" x14ac:dyDescent="0.25">
      <c r="A83" s="449" t="s">
        <v>63</v>
      </c>
      <c r="B83" s="450" t="s">
        <v>64</v>
      </c>
      <c r="C83" s="17" t="s">
        <v>28</v>
      </c>
      <c r="D83" s="18">
        <f>D84+D85+D86+D87</f>
        <v>1702022</v>
      </c>
      <c r="E83" s="18">
        <f>E84+E85+E86+E87</f>
        <v>664000</v>
      </c>
      <c r="F83" s="18">
        <f t="shared" si="12"/>
        <v>0.39012421696076782</v>
      </c>
      <c r="G83" s="450" t="s">
        <v>48</v>
      </c>
      <c r="H83" s="450" t="s">
        <v>49</v>
      </c>
      <c r="I83" s="449" t="s">
        <v>50</v>
      </c>
      <c r="J83" s="451"/>
      <c r="K83" s="451"/>
      <c r="L83" s="20"/>
      <c r="M83" s="20"/>
      <c r="N83" s="20"/>
      <c r="O83" s="20"/>
      <c r="P83" s="20"/>
      <c r="Q83" s="21"/>
      <c r="R83" s="21"/>
      <c r="S83" s="21"/>
      <c r="T83" s="21"/>
    </row>
    <row r="84" spans="1:20" ht="12" customHeight="1" x14ac:dyDescent="0.25">
      <c r="A84" s="449"/>
      <c r="B84" s="450"/>
      <c r="C84" s="13" t="s">
        <v>30</v>
      </c>
      <c r="D84" s="15">
        <v>1702022</v>
      </c>
      <c r="E84" s="15">
        <v>664000</v>
      </c>
      <c r="F84" s="15">
        <f t="shared" si="12"/>
        <v>0.39012421696076782</v>
      </c>
      <c r="G84" s="450"/>
      <c r="H84" s="450"/>
      <c r="I84" s="449"/>
      <c r="J84" s="451"/>
      <c r="K84" s="451"/>
    </row>
    <row r="85" spans="1:20" ht="12" customHeight="1" x14ac:dyDescent="0.25">
      <c r="A85" s="449"/>
      <c r="B85" s="450"/>
      <c r="C85" s="13" t="s">
        <v>32</v>
      </c>
      <c r="D85" s="15">
        <v>0</v>
      </c>
      <c r="E85" s="15">
        <v>0</v>
      </c>
      <c r="F85" s="15">
        <v>0</v>
      </c>
      <c r="G85" s="450"/>
      <c r="H85" s="450"/>
      <c r="I85" s="449"/>
      <c r="J85" s="451"/>
      <c r="K85" s="451"/>
    </row>
    <row r="86" spans="1:20" ht="12" customHeight="1" x14ac:dyDescent="0.25">
      <c r="A86" s="449"/>
      <c r="B86" s="450"/>
      <c r="C86" s="13" t="s">
        <v>34</v>
      </c>
      <c r="D86" s="15">
        <v>0</v>
      </c>
      <c r="E86" s="15">
        <v>0</v>
      </c>
      <c r="F86" s="15">
        <v>0</v>
      </c>
      <c r="G86" s="450"/>
      <c r="H86" s="450"/>
      <c r="I86" s="449"/>
      <c r="J86" s="451"/>
      <c r="K86" s="451"/>
    </row>
    <row r="87" spans="1:20" ht="12" customHeight="1" x14ac:dyDescent="0.25">
      <c r="A87" s="449"/>
      <c r="B87" s="450"/>
      <c r="C87" s="13" t="s">
        <v>36</v>
      </c>
      <c r="D87" s="15">
        <v>0</v>
      </c>
      <c r="E87" s="15">
        <v>0</v>
      </c>
      <c r="F87" s="15">
        <v>0</v>
      </c>
      <c r="G87" s="450"/>
      <c r="H87" s="450"/>
      <c r="I87" s="449"/>
      <c r="J87" s="451"/>
      <c r="K87" s="451"/>
    </row>
    <row r="88" spans="1:20" s="22" customFormat="1" ht="12" customHeight="1" x14ac:dyDescent="0.25">
      <c r="A88" s="449" t="s">
        <v>65</v>
      </c>
      <c r="B88" s="450" t="s">
        <v>66</v>
      </c>
      <c r="C88" s="17" t="s">
        <v>28</v>
      </c>
      <c r="D88" s="18">
        <f>D89+D90+D91+D92</f>
        <v>0</v>
      </c>
      <c r="E88" s="18">
        <f>E89+E90+E91+E92</f>
        <v>0</v>
      </c>
      <c r="F88" s="18">
        <v>0</v>
      </c>
      <c r="G88" s="457"/>
      <c r="H88" s="19" t="s">
        <v>39</v>
      </c>
      <c r="I88" s="17"/>
      <c r="J88" s="451"/>
      <c r="K88" s="451"/>
      <c r="L88" s="20"/>
      <c r="M88" s="20"/>
      <c r="N88" s="20"/>
      <c r="O88" s="20"/>
      <c r="P88" s="20"/>
      <c r="Q88" s="21"/>
      <c r="R88" s="21"/>
      <c r="S88" s="21"/>
      <c r="T88" s="21"/>
    </row>
    <row r="89" spans="1:20" ht="12" customHeight="1" x14ac:dyDescent="0.25">
      <c r="A89" s="449"/>
      <c r="B89" s="450"/>
      <c r="C89" s="13" t="s">
        <v>30</v>
      </c>
      <c r="D89" s="15">
        <f>[1]табл.8!H73</f>
        <v>0</v>
      </c>
      <c r="E89" s="15">
        <v>0</v>
      </c>
      <c r="F89" s="15">
        <v>0</v>
      </c>
      <c r="G89" s="457"/>
      <c r="H89" s="16" t="s">
        <v>31</v>
      </c>
      <c r="I89" s="13"/>
      <c r="J89" s="451"/>
      <c r="K89" s="451"/>
    </row>
    <row r="90" spans="1:20" ht="12" customHeight="1" x14ac:dyDescent="0.25">
      <c r="A90" s="449"/>
      <c r="B90" s="450"/>
      <c r="C90" s="13" t="s">
        <v>32</v>
      </c>
      <c r="D90" s="15">
        <f>[1]табл.8!F73</f>
        <v>0</v>
      </c>
      <c r="E90" s="15">
        <v>0</v>
      </c>
      <c r="F90" s="15">
        <v>0</v>
      </c>
      <c r="G90" s="457"/>
      <c r="H90" s="16" t="s">
        <v>33</v>
      </c>
      <c r="I90" s="13"/>
      <c r="J90" s="451"/>
      <c r="K90" s="451"/>
    </row>
    <row r="91" spans="1:20" ht="12" customHeight="1" x14ac:dyDescent="0.25">
      <c r="A91" s="449"/>
      <c r="B91" s="450"/>
      <c r="C91" s="13" t="s">
        <v>34</v>
      </c>
      <c r="D91" s="15">
        <f>[1]табл.8!G73</f>
        <v>0</v>
      </c>
      <c r="E91" s="15">
        <v>0</v>
      </c>
      <c r="F91" s="15">
        <v>0</v>
      </c>
      <c r="G91" s="457"/>
      <c r="H91" s="16" t="s">
        <v>35</v>
      </c>
      <c r="I91" s="13"/>
      <c r="J91" s="451"/>
      <c r="K91" s="451"/>
    </row>
    <row r="92" spans="1:20" ht="12" customHeight="1" x14ac:dyDescent="0.25">
      <c r="A92" s="449"/>
      <c r="B92" s="450"/>
      <c r="C92" s="13" t="s">
        <v>36</v>
      </c>
      <c r="D92" s="15">
        <f>[1]табл.8!I73</f>
        <v>0</v>
      </c>
      <c r="E92" s="15">
        <v>0</v>
      </c>
      <c r="F92" s="15">
        <v>0</v>
      </c>
      <c r="G92" s="457"/>
      <c r="H92" s="16" t="s">
        <v>37</v>
      </c>
      <c r="I92" s="13"/>
      <c r="J92" s="451"/>
      <c r="K92" s="451"/>
    </row>
    <row r="93" spans="1:20" ht="12" customHeight="1" x14ac:dyDescent="0.25">
      <c r="A93" s="498" t="s">
        <v>67</v>
      </c>
      <c r="B93" s="499" t="s">
        <v>68</v>
      </c>
      <c r="C93" s="34" t="s">
        <v>28</v>
      </c>
      <c r="D93" s="35">
        <f>D94+D95+D96+D97</f>
        <v>667369311.25</v>
      </c>
      <c r="E93" s="35">
        <f>E94+E95+E96+E97</f>
        <v>353384601.75</v>
      </c>
      <c r="F93" s="35">
        <f>E93/D93</f>
        <v>0.52951880734237167</v>
      </c>
      <c r="G93" s="500"/>
      <c r="H93" s="36" t="s">
        <v>39</v>
      </c>
      <c r="I93" s="34"/>
      <c r="J93" s="501"/>
      <c r="K93" s="501"/>
    </row>
    <row r="94" spans="1:20" ht="12" customHeight="1" x14ac:dyDescent="0.25">
      <c r="A94" s="498"/>
      <c r="B94" s="499"/>
      <c r="C94" s="34" t="s">
        <v>30</v>
      </c>
      <c r="D94" s="35">
        <f>D99+D119</f>
        <v>112346966.06</v>
      </c>
      <c r="E94" s="35">
        <f>E99+E119</f>
        <v>51167432.879999995</v>
      </c>
      <c r="F94" s="35">
        <f t="shared" ref="F94:F97" si="13">E94/D94</f>
        <v>0.45544116298319554</v>
      </c>
      <c r="G94" s="500"/>
      <c r="H94" s="36" t="s">
        <v>31</v>
      </c>
      <c r="I94" s="34"/>
      <c r="J94" s="501"/>
      <c r="K94" s="501"/>
      <c r="L94" s="7">
        <f>'[1]01 07 2021'!H24+'[1]01 07 2021'!H25+'[1]01 07 2021'!H26+'[1]01 07 2021'!H27+'[1]01 07 2021'!H76+'[1]01 07 2021'!H77+'[1]01 07 2021'!H35+'[1]01 07 2021'!H38+'[1]01 07 2021'!H39+'[1]01 07 2021'!H40+'[1]01 07 2021'!H43+'[1]01 07 2021'!H44</f>
        <v>112346966.06</v>
      </c>
      <c r="M94" s="7">
        <f>'[1]01 07 2021'!I24+'[1]01 07 2021'!I25+'[1]01 07 2021'!I26+'[1]01 07 2021'!I27+'[1]01 07 2021'!I76+'[1]01 07 2021'!I77+'[1]01 07 2021'!I35+'[1]01 07 2021'!I38+'[1]01 07 2021'!I39+'[1]01 07 2021'!I40+'[1]01 07 2021'!I43+'[1]01 07 2021'!I44</f>
        <v>2070007.0199999996</v>
      </c>
      <c r="N94" s="7">
        <f>'[1]01 07 2021'!J24+'[1]01 07 2021'!J25+'[1]01 07 2021'!J26+'[1]01 07 2021'!J27+'[1]01 07 2021'!J76+'[1]01 07 2021'!J77+'[1]01 07 2021'!J35+'[1]01 07 2021'!J38+'[1]01 07 2021'!J39+'[1]01 07 2021'!J40+'[1]01 07 2021'!J43+'[1]01 07 2021'!J44</f>
        <v>110276959.04000001</v>
      </c>
      <c r="O94" s="7">
        <f>'[1]01 07 2021'!K24+'[1]01 07 2021'!K25+'[1]01 07 2021'!K26+'[1]01 07 2021'!K27+'[1]01 07 2021'!K76+'[1]01 07 2021'!K77+'[1]01 07 2021'!K35+'[1]01 07 2021'!K38+'[1]01 07 2021'!K39+'[1]01 07 2021'!K40+'[1]01 07 2021'!K43+'[1]01 07 2021'!K44</f>
        <v>51167432.879999995</v>
      </c>
      <c r="P94" s="7">
        <f>'[1]01 07 2021'!L24+'[1]01 07 2021'!L25+'[1]01 07 2021'!L26+'[1]01 07 2021'!L27+'[1]01 07 2021'!L76+'[1]01 07 2021'!L77+'[1]01 07 2021'!L35+'[1]01 07 2021'!L38+'[1]01 07 2021'!L39+'[1]01 07 2021'!L40+'[1]01 07 2021'!L43+'[1]01 07 2021'!L44</f>
        <v>61179533.179999985</v>
      </c>
      <c r="Q94" s="7">
        <f>'[1]01 07 2021'!M24+'[1]01 07 2021'!M25+'[1]01 07 2021'!M26+'[1]01 07 2021'!M27+'[1]01 07 2021'!M76+'[1]01 07 2021'!M77+'[1]01 07 2021'!M35+'[1]01 07 2021'!M38+'[1]01 07 2021'!M39+'[1]01 07 2021'!M40+'[1]01 07 2021'!M43+'[1]01 07 2021'!M44</f>
        <v>51167432.879999995</v>
      </c>
    </row>
    <row r="95" spans="1:20" ht="12" customHeight="1" x14ac:dyDescent="0.25">
      <c r="A95" s="498"/>
      <c r="B95" s="499"/>
      <c r="C95" s="34" t="s">
        <v>32</v>
      </c>
      <c r="D95" s="35">
        <f t="shared" ref="D95:E97" si="14">D100+D120</f>
        <v>490265605.19</v>
      </c>
      <c r="E95" s="35">
        <f t="shared" si="14"/>
        <v>273864887.49000001</v>
      </c>
      <c r="F95" s="35">
        <f t="shared" si="13"/>
        <v>0.55860514094980218</v>
      </c>
      <c r="G95" s="500"/>
      <c r="H95" s="36" t="s">
        <v>33</v>
      </c>
      <c r="I95" s="34"/>
      <c r="J95" s="501"/>
      <c r="K95" s="501"/>
      <c r="L95" s="7">
        <f>'[1]01 07 2021'!H33+'[1]01 07 2021'!H34+'[1]01 07 2021'!H31+'[1]01 07 2021'!H32+'[1]01 07 2021'!H78+'[1]01 07 2021'!H107+'[1]01 07 2021'!H30+'[1]01 07 2021'!H37+'[1]01 07 2021'!H41+'[1]01 07 2021'!H42</f>
        <v>490265605.19</v>
      </c>
      <c r="M95" s="7">
        <f>'[1]01 07 2021'!I33+'[1]01 07 2021'!I34+'[1]01 07 2021'!I31+'[1]01 07 2021'!I32+'[1]01 07 2021'!I78+'[1]01 07 2021'!I107+'[1]01 07 2021'!I30+'[1]01 07 2021'!I37+'[1]01 07 2021'!I41+'[1]01 07 2021'!I42</f>
        <v>0</v>
      </c>
      <c r="N95" s="7">
        <f>'[1]01 07 2021'!J33+'[1]01 07 2021'!J34+'[1]01 07 2021'!J31+'[1]01 07 2021'!J32+'[1]01 07 2021'!J78+'[1]01 07 2021'!J107+'[1]01 07 2021'!J30+'[1]01 07 2021'!J37+'[1]01 07 2021'!J41+'[1]01 07 2021'!J42</f>
        <v>490265605.19</v>
      </c>
      <c r="O95" s="7">
        <f>'[1]01 07 2021'!K33+'[1]01 07 2021'!K34+'[1]01 07 2021'!K31+'[1]01 07 2021'!K32+'[1]01 07 2021'!K78+'[1]01 07 2021'!K107+'[1]01 07 2021'!K30+'[1]01 07 2021'!K37+'[1]01 07 2021'!K41+'[1]01 07 2021'!K42</f>
        <v>273864887.49000001</v>
      </c>
      <c r="P95" s="7">
        <f>'[1]01 07 2021'!L33+'[1]01 07 2021'!L34+'[1]01 07 2021'!L31+'[1]01 07 2021'!L32+'[1]01 07 2021'!L78+'[1]01 07 2021'!L107+'[1]01 07 2021'!L30+'[1]01 07 2021'!L37+'[1]01 07 2021'!L41+'[1]01 07 2021'!L42</f>
        <v>216400717.69999999</v>
      </c>
      <c r="Q95" s="7">
        <f>'[1]01 07 2021'!M33+'[1]01 07 2021'!M34+'[1]01 07 2021'!M31+'[1]01 07 2021'!M32+'[1]01 07 2021'!M78+'[1]01 07 2021'!M107+'[1]01 07 2021'!M30+'[1]01 07 2021'!M37+'[1]01 07 2021'!M41+'[1]01 07 2021'!M42</f>
        <v>273864887.49000001</v>
      </c>
    </row>
    <row r="96" spans="1:20" ht="12" customHeight="1" x14ac:dyDescent="0.25">
      <c r="A96" s="498"/>
      <c r="B96" s="499"/>
      <c r="C96" s="34" t="s">
        <v>34</v>
      </c>
      <c r="D96" s="35">
        <f t="shared" si="14"/>
        <v>62906740</v>
      </c>
      <c r="E96" s="35">
        <f t="shared" si="14"/>
        <v>27003689.100000001</v>
      </c>
      <c r="F96" s="35">
        <f t="shared" si="13"/>
        <v>0.42926543483257917</v>
      </c>
      <c r="G96" s="500"/>
      <c r="H96" s="36" t="s">
        <v>35</v>
      </c>
      <c r="I96" s="34"/>
      <c r="J96" s="501"/>
      <c r="K96" s="501"/>
    </row>
    <row r="97" spans="1:20" ht="12" customHeight="1" x14ac:dyDescent="0.25">
      <c r="A97" s="498"/>
      <c r="B97" s="499"/>
      <c r="C97" s="34" t="s">
        <v>36</v>
      </c>
      <c r="D97" s="35">
        <f t="shared" si="14"/>
        <v>1850000</v>
      </c>
      <c r="E97" s="35">
        <f t="shared" si="14"/>
        <v>1348592.2799999993</v>
      </c>
      <c r="F97" s="35">
        <f t="shared" si="13"/>
        <v>0.72896879999999964</v>
      </c>
      <c r="G97" s="500"/>
      <c r="H97" s="36" t="s">
        <v>37</v>
      </c>
      <c r="I97" s="34"/>
      <c r="J97" s="501"/>
      <c r="K97" s="501"/>
    </row>
    <row r="98" spans="1:20" ht="12" customHeight="1" x14ac:dyDescent="0.25">
      <c r="A98" s="494" t="s">
        <v>69</v>
      </c>
      <c r="B98" s="495" t="s">
        <v>70</v>
      </c>
      <c r="C98" s="37" t="s">
        <v>28</v>
      </c>
      <c r="D98" s="23">
        <f>D99+D100+D101+D102</f>
        <v>623860275.41999996</v>
      </c>
      <c r="E98" s="23">
        <f>E99+E100+E101+E102</f>
        <v>351462207.53999996</v>
      </c>
      <c r="F98" s="23">
        <f>E98/D98</f>
        <v>0.56336686496569433</v>
      </c>
      <c r="G98" s="496"/>
      <c r="H98" s="38" t="s">
        <v>39</v>
      </c>
      <c r="I98" s="37"/>
      <c r="J98" s="497"/>
      <c r="K98" s="497"/>
    </row>
    <row r="99" spans="1:20" ht="12" customHeight="1" x14ac:dyDescent="0.25">
      <c r="A99" s="494"/>
      <c r="B99" s="495"/>
      <c r="C99" s="37" t="s">
        <v>30</v>
      </c>
      <c r="D99" s="23">
        <f>D104+D109+D114</f>
        <v>104668910.23</v>
      </c>
      <c r="E99" s="23">
        <f>E104+E109+E114</f>
        <v>49785753.719999999</v>
      </c>
      <c r="F99" s="23">
        <f t="shared" ref="F99:F115" si="15">E99/D99</f>
        <v>0.47564987168205464</v>
      </c>
      <c r="G99" s="496"/>
      <c r="H99" s="38" t="s">
        <v>31</v>
      </c>
      <c r="I99" s="37"/>
      <c r="J99" s="497"/>
      <c r="K99" s="497"/>
    </row>
    <row r="100" spans="1:20" ht="12" customHeight="1" x14ac:dyDescent="0.25">
      <c r="A100" s="494"/>
      <c r="B100" s="495"/>
      <c r="C100" s="37" t="s">
        <v>32</v>
      </c>
      <c r="D100" s="23">
        <f t="shared" ref="D100:E102" si="16">D105+D110+D115</f>
        <v>476953325.19</v>
      </c>
      <c r="E100" s="23">
        <f t="shared" si="16"/>
        <v>273324172.44</v>
      </c>
      <c r="F100" s="23">
        <f t="shared" si="15"/>
        <v>0.57306272543779435</v>
      </c>
      <c r="G100" s="496"/>
      <c r="H100" s="38" t="s">
        <v>33</v>
      </c>
      <c r="I100" s="37"/>
      <c r="J100" s="497"/>
      <c r="K100" s="497"/>
    </row>
    <row r="101" spans="1:20" ht="12" customHeight="1" x14ac:dyDescent="0.25">
      <c r="A101" s="494"/>
      <c r="B101" s="495"/>
      <c r="C101" s="37" t="s">
        <v>34</v>
      </c>
      <c r="D101" s="23">
        <f t="shared" si="16"/>
        <v>40388040</v>
      </c>
      <c r="E101" s="23">
        <f t="shared" si="16"/>
        <v>27003689.100000001</v>
      </c>
      <c r="F101" s="23">
        <f t="shared" si="15"/>
        <v>0.66860607991870868</v>
      </c>
      <c r="G101" s="496"/>
      <c r="H101" s="38" t="s">
        <v>35</v>
      </c>
      <c r="I101" s="37"/>
      <c r="J101" s="497"/>
      <c r="K101" s="497"/>
    </row>
    <row r="102" spans="1:20" ht="12" customHeight="1" x14ac:dyDescent="0.25">
      <c r="A102" s="494"/>
      <c r="B102" s="495"/>
      <c r="C102" s="37" t="s">
        <v>36</v>
      </c>
      <c r="D102" s="23">
        <f t="shared" si="16"/>
        <v>1850000</v>
      </c>
      <c r="E102" s="23">
        <f t="shared" si="16"/>
        <v>1348592.2799999993</v>
      </c>
      <c r="F102" s="23">
        <f t="shared" si="15"/>
        <v>0.72896879999999964</v>
      </c>
      <c r="G102" s="496"/>
      <c r="H102" s="38" t="s">
        <v>37</v>
      </c>
      <c r="I102" s="37"/>
      <c r="J102" s="497"/>
      <c r="K102" s="497"/>
    </row>
    <row r="103" spans="1:20" s="22" customFormat="1" ht="12" customHeight="1" x14ac:dyDescent="0.25">
      <c r="A103" s="449" t="s">
        <v>71</v>
      </c>
      <c r="B103" s="450" t="s">
        <v>72</v>
      </c>
      <c r="C103" s="17" t="s">
        <v>28</v>
      </c>
      <c r="D103" s="18">
        <f>D104+D105+D106+D107</f>
        <v>515058540</v>
      </c>
      <c r="E103" s="18">
        <f>E104+E105+E106+E107</f>
        <v>299305808.95999998</v>
      </c>
      <c r="F103" s="18">
        <f t="shared" si="15"/>
        <v>0.58111027332931897</v>
      </c>
      <c r="G103" s="450" t="s">
        <v>48</v>
      </c>
      <c r="H103" s="450" t="s">
        <v>49</v>
      </c>
      <c r="I103" s="449" t="s">
        <v>50</v>
      </c>
      <c r="J103" s="451"/>
      <c r="K103" s="451"/>
      <c r="L103" s="20"/>
      <c r="M103" s="20"/>
      <c r="N103" s="20"/>
      <c r="O103" s="20"/>
      <c r="P103" s="20"/>
      <c r="Q103" s="21"/>
      <c r="R103" s="21"/>
      <c r="S103" s="21"/>
      <c r="T103" s="21"/>
    </row>
    <row r="104" spans="1:20" ht="12" customHeight="1" x14ac:dyDescent="0.25">
      <c r="A104" s="449"/>
      <c r="B104" s="450"/>
      <c r="C104" s="13" t="s">
        <v>30</v>
      </c>
      <c r="D104" s="15">
        <v>0</v>
      </c>
      <c r="E104" s="15"/>
      <c r="F104" s="15">
        <v>0</v>
      </c>
      <c r="G104" s="450"/>
      <c r="H104" s="450"/>
      <c r="I104" s="449"/>
      <c r="J104" s="451"/>
      <c r="K104" s="451"/>
    </row>
    <row r="105" spans="1:20" ht="12" customHeight="1" x14ac:dyDescent="0.25">
      <c r="A105" s="449"/>
      <c r="B105" s="450"/>
      <c r="C105" s="13" t="s">
        <v>32</v>
      </c>
      <c r="D105" s="15">
        <v>474670500</v>
      </c>
      <c r="E105" s="15">
        <v>272302119.85999995</v>
      </c>
      <c r="F105" s="15">
        <f t="shared" si="15"/>
        <v>0.57366556350141829</v>
      </c>
      <c r="G105" s="450"/>
      <c r="H105" s="450"/>
      <c r="I105" s="449"/>
      <c r="J105" s="451"/>
      <c r="K105" s="451"/>
    </row>
    <row r="106" spans="1:20" ht="12" customHeight="1" x14ac:dyDescent="0.25">
      <c r="A106" s="449"/>
      <c r="B106" s="450"/>
      <c r="C106" s="13" t="s">
        <v>34</v>
      </c>
      <c r="D106" s="15">
        <v>40388040</v>
      </c>
      <c r="E106" s="15">
        <v>27003689.100000001</v>
      </c>
      <c r="F106" s="15">
        <f t="shared" si="15"/>
        <v>0.66860607991870868</v>
      </c>
      <c r="G106" s="450"/>
      <c r="H106" s="450"/>
      <c r="I106" s="449"/>
      <c r="J106" s="451"/>
      <c r="K106" s="451"/>
    </row>
    <row r="107" spans="1:20" ht="12" customHeight="1" x14ac:dyDescent="0.25">
      <c r="A107" s="449"/>
      <c r="B107" s="450"/>
      <c r="C107" s="13" t="s">
        <v>36</v>
      </c>
      <c r="D107" s="15">
        <v>0</v>
      </c>
      <c r="E107" s="15">
        <v>0</v>
      </c>
      <c r="F107" s="15">
        <v>0</v>
      </c>
      <c r="G107" s="450"/>
      <c r="H107" s="450"/>
      <c r="I107" s="449"/>
      <c r="J107" s="451"/>
      <c r="K107" s="451"/>
    </row>
    <row r="108" spans="1:20" s="22" customFormat="1" ht="11.25" customHeight="1" x14ac:dyDescent="0.25">
      <c r="A108" s="449" t="s">
        <v>73</v>
      </c>
      <c r="B108" s="450" t="s">
        <v>74</v>
      </c>
      <c r="C108" s="17" t="s">
        <v>28</v>
      </c>
      <c r="D108" s="18">
        <f>D109+D110+D111+D112</f>
        <v>108186356.84</v>
      </c>
      <c r="E108" s="18">
        <f>E109+E110+E111+E112</f>
        <v>51848709.979999997</v>
      </c>
      <c r="F108" s="18">
        <f t="shared" si="15"/>
        <v>0.47925368313012501</v>
      </c>
      <c r="G108" s="450" t="s">
        <v>48</v>
      </c>
      <c r="H108" s="450" t="s">
        <v>49</v>
      </c>
      <c r="I108" s="449" t="s">
        <v>50</v>
      </c>
      <c r="J108" s="451"/>
      <c r="K108" s="451"/>
      <c r="L108" s="20"/>
      <c r="M108" s="20"/>
      <c r="N108" s="20"/>
      <c r="O108" s="20"/>
      <c r="P108" s="20"/>
      <c r="Q108" s="21"/>
      <c r="R108" s="21"/>
      <c r="S108" s="21"/>
      <c r="T108" s="21"/>
    </row>
    <row r="109" spans="1:20" ht="11.25" customHeight="1" x14ac:dyDescent="0.25">
      <c r="A109" s="449"/>
      <c r="B109" s="450"/>
      <c r="C109" s="13" t="s">
        <v>30</v>
      </c>
      <c r="D109" s="15">
        <v>104622756.84</v>
      </c>
      <c r="E109" s="15">
        <v>49762677.719999999</v>
      </c>
      <c r="F109" s="15">
        <f t="shared" si="15"/>
        <v>0.47563913648444822</v>
      </c>
      <c r="G109" s="450"/>
      <c r="H109" s="450"/>
      <c r="I109" s="449"/>
      <c r="J109" s="451"/>
      <c r="K109" s="451"/>
    </row>
    <row r="110" spans="1:20" ht="11.25" customHeight="1" x14ac:dyDescent="0.25">
      <c r="A110" s="449"/>
      <c r="B110" s="450"/>
      <c r="C110" s="13" t="s">
        <v>32</v>
      </c>
      <c r="D110" s="15">
        <v>1713600</v>
      </c>
      <c r="E110" s="15">
        <v>737439.98</v>
      </c>
      <c r="F110" s="15">
        <f t="shared" si="15"/>
        <v>0.4303454598506069</v>
      </c>
      <c r="G110" s="450"/>
      <c r="H110" s="450"/>
      <c r="I110" s="449"/>
      <c r="J110" s="451"/>
      <c r="K110" s="451"/>
    </row>
    <row r="111" spans="1:20" ht="11.25" customHeight="1" x14ac:dyDescent="0.25">
      <c r="A111" s="449"/>
      <c r="B111" s="450"/>
      <c r="C111" s="13" t="s">
        <v>34</v>
      </c>
      <c r="D111" s="15">
        <v>0</v>
      </c>
      <c r="E111" s="15">
        <v>0</v>
      </c>
      <c r="F111" s="15">
        <v>0</v>
      </c>
      <c r="G111" s="450"/>
      <c r="H111" s="450"/>
      <c r="I111" s="449"/>
      <c r="J111" s="451"/>
      <c r="K111" s="451"/>
    </row>
    <row r="112" spans="1:20" ht="11.25" customHeight="1" x14ac:dyDescent="0.25">
      <c r="A112" s="449"/>
      <c r="B112" s="450"/>
      <c r="C112" s="13" t="s">
        <v>36</v>
      </c>
      <c r="D112" s="15">
        <v>1850000</v>
      </c>
      <c r="E112" s="15">
        <v>1348592.2799999993</v>
      </c>
      <c r="F112" s="15">
        <f t="shared" si="15"/>
        <v>0.72896879999999964</v>
      </c>
      <c r="G112" s="450"/>
      <c r="H112" s="450"/>
      <c r="I112" s="449"/>
      <c r="J112" s="451"/>
      <c r="K112" s="451"/>
    </row>
    <row r="113" spans="1:20" s="22" customFormat="1" ht="33" customHeight="1" x14ac:dyDescent="0.25">
      <c r="A113" s="449" t="s">
        <v>75</v>
      </c>
      <c r="B113" s="450" t="s">
        <v>76</v>
      </c>
      <c r="C113" s="17" t="s">
        <v>28</v>
      </c>
      <c r="D113" s="18">
        <f>D114+D115+D116+D117</f>
        <v>615378.57999999996</v>
      </c>
      <c r="E113" s="18">
        <f>E114+E115+E116+E117</f>
        <v>307688.59999999998</v>
      </c>
      <c r="F113" s="18">
        <f t="shared" si="15"/>
        <v>0.49999887873900323</v>
      </c>
      <c r="G113" s="457"/>
      <c r="H113" s="19" t="s">
        <v>39</v>
      </c>
      <c r="I113" s="17"/>
      <c r="J113" s="451"/>
      <c r="K113" s="451"/>
      <c r="L113" s="20"/>
      <c r="M113" s="20"/>
      <c r="N113" s="20"/>
      <c r="O113" s="20"/>
      <c r="P113" s="20"/>
      <c r="Q113" s="21"/>
      <c r="R113" s="21"/>
      <c r="S113" s="21"/>
      <c r="T113" s="21"/>
    </row>
    <row r="114" spans="1:20" ht="33" customHeight="1" x14ac:dyDescent="0.25">
      <c r="A114" s="449"/>
      <c r="B114" s="450"/>
      <c r="C114" s="13" t="s">
        <v>30</v>
      </c>
      <c r="D114" s="15">
        <v>46153.39</v>
      </c>
      <c r="E114" s="15">
        <v>23076</v>
      </c>
      <c r="F114" s="15">
        <f t="shared" si="15"/>
        <v>0.49998494151783868</v>
      </c>
      <c r="G114" s="457"/>
      <c r="H114" s="16" t="s">
        <v>31</v>
      </c>
      <c r="I114" s="13"/>
      <c r="J114" s="451"/>
      <c r="K114" s="451"/>
    </row>
    <row r="115" spans="1:20" ht="33" customHeight="1" x14ac:dyDescent="0.25">
      <c r="A115" s="449"/>
      <c r="B115" s="450"/>
      <c r="C115" s="13" t="s">
        <v>32</v>
      </c>
      <c r="D115" s="15">
        <v>569225.18999999994</v>
      </c>
      <c r="E115" s="15">
        <v>284612.59999999998</v>
      </c>
      <c r="F115" s="15">
        <f t="shared" si="15"/>
        <v>0.50000000878386985</v>
      </c>
      <c r="G115" s="457"/>
      <c r="H115" s="16" t="s">
        <v>33</v>
      </c>
      <c r="I115" s="13"/>
      <c r="J115" s="451"/>
      <c r="K115" s="451"/>
    </row>
    <row r="116" spans="1:20" ht="33" customHeight="1" x14ac:dyDescent="0.25">
      <c r="A116" s="449"/>
      <c r="B116" s="450"/>
      <c r="C116" s="13" t="s">
        <v>34</v>
      </c>
      <c r="D116" s="15">
        <v>0</v>
      </c>
      <c r="E116" s="15">
        <v>0</v>
      </c>
      <c r="F116" s="15">
        <v>0</v>
      </c>
      <c r="G116" s="457"/>
      <c r="H116" s="16" t="s">
        <v>35</v>
      </c>
      <c r="I116" s="13"/>
      <c r="J116" s="451"/>
      <c r="K116" s="451"/>
    </row>
    <row r="117" spans="1:20" ht="33" customHeight="1" x14ac:dyDescent="0.25">
      <c r="A117" s="449"/>
      <c r="B117" s="450"/>
      <c r="C117" s="13" t="s">
        <v>36</v>
      </c>
      <c r="D117" s="15">
        <v>0</v>
      </c>
      <c r="E117" s="15">
        <v>0</v>
      </c>
      <c r="F117" s="15">
        <v>0</v>
      </c>
      <c r="G117" s="457"/>
      <c r="H117" s="16" t="s">
        <v>37</v>
      </c>
      <c r="I117" s="13"/>
      <c r="J117" s="451"/>
      <c r="K117" s="451"/>
    </row>
    <row r="118" spans="1:20" s="22" customFormat="1" ht="12" customHeight="1" x14ac:dyDescent="0.25">
      <c r="A118" s="494" t="s">
        <v>77</v>
      </c>
      <c r="B118" s="495" t="s">
        <v>78</v>
      </c>
      <c r="C118" s="39" t="s">
        <v>28</v>
      </c>
      <c r="D118" s="40">
        <f>D119+D120+D121+D122</f>
        <v>43509035.829999998</v>
      </c>
      <c r="E118" s="40">
        <f>E119+E120+E121+E122</f>
        <v>1922394.2100000002</v>
      </c>
      <c r="F118" s="40">
        <f>E118/D118</f>
        <v>4.4183792477297014E-2</v>
      </c>
      <c r="G118" s="496"/>
      <c r="H118" s="41" t="s">
        <v>39</v>
      </c>
      <c r="I118" s="39"/>
      <c r="J118" s="497"/>
      <c r="K118" s="497"/>
      <c r="L118" s="20"/>
      <c r="M118" s="20"/>
      <c r="N118" s="20"/>
      <c r="O118" s="20"/>
      <c r="P118" s="20"/>
      <c r="Q118" s="21"/>
      <c r="R118" s="21"/>
      <c r="S118" s="21"/>
      <c r="T118" s="21"/>
    </row>
    <row r="119" spans="1:20" ht="12" customHeight="1" x14ac:dyDescent="0.25">
      <c r="A119" s="494"/>
      <c r="B119" s="495"/>
      <c r="C119" s="37" t="s">
        <v>30</v>
      </c>
      <c r="D119" s="23">
        <f>D124+D129+D134</f>
        <v>7678055.8299999991</v>
      </c>
      <c r="E119" s="23">
        <f>E124+E129+E134</f>
        <v>1381679.1600000001</v>
      </c>
      <c r="F119" s="23">
        <f t="shared" ref="F119:F131" si="17">E119/D119</f>
        <v>0.17995169488107254</v>
      </c>
      <c r="G119" s="496"/>
      <c r="H119" s="38" t="s">
        <v>31</v>
      </c>
      <c r="I119" s="37"/>
      <c r="J119" s="497"/>
      <c r="K119" s="497"/>
    </row>
    <row r="120" spans="1:20" ht="12" customHeight="1" x14ac:dyDescent="0.25">
      <c r="A120" s="494"/>
      <c r="B120" s="495"/>
      <c r="C120" s="37" t="s">
        <v>32</v>
      </c>
      <c r="D120" s="23">
        <f t="shared" ref="D120:E122" si="18">D125+D130+D135</f>
        <v>13312280</v>
      </c>
      <c r="E120" s="23">
        <f t="shared" si="18"/>
        <v>540715.05000000005</v>
      </c>
      <c r="F120" s="23">
        <f t="shared" si="17"/>
        <v>4.0617764199671287E-2</v>
      </c>
      <c r="G120" s="496"/>
      <c r="H120" s="38" t="s">
        <v>33</v>
      </c>
      <c r="I120" s="37"/>
      <c r="J120" s="497"/>
      <c r="K120" s="497"/>
    </row>
    <row r="121" spans="1:20" ht="12" customHeight="1" x14ac:dyDescent="0.25">
      <c r="A121" s="494"/>
      <c r="B121" s="495"/>
      <c r="C121" s="37" t="s">
        <v>34</v>
      </c>
      <c r="D121" s="23">
        <f t="shared" si="18"/>
        <v>22518700</v>
      </c>
      <c r="E121" s="23">
        <f t="shared" si="18"/>
        <v>0</v>
      </c>
      <c r="F121" s="23">
        <f t="shared" si="17"/>
        <v>0</v>
      </c>
      <c r="G121" s="496"/>
      <c r="H121" s="38" t="s">
        <v>35</v>
      </c>
      <c r="I121" s="37"/>
      <c r="J121" s="497"/>
      <c r="K121" s="497"/>
    </row>
    <row r="122" spans="1:20" ht="12" customHeight="1" x14ac:dyDescent="0.25">
      <c r="A122" s="494"/>
      <c r="B122" s="495"/>
      <c r="C122" s="37" t="s">
        <v>36</v>
      </c>
      <c r="D122" s="23">
        <f t="shared" si="18"/>
        <v>0</v>
      </c>
      <c r="E122" s="23">
        <f>E127+E132+E137</f>
        <v>0</v>
      </c>
      <c r="F122" s="23">
        <v>0</v>
      </c>
      <c r="G122" s="496"/>
      <c r="H122" s="38" t="s">
        <v>37</v>
      </c>
      <c r="I122" s="37"/>
      <c r="J122" s="497"/>
      <c r="K122" s="497"/>
    </row>
    <row r="123" spans="1:20" s="22" customFormat="1" ht="12" customHeight="1" x14ac:dyDescent="0.25">
      <c r="A123" s="449" t="s">
        <v>79</v>
      </c>
      <c r="B123" s="450" t="s">
        <v>62</v>
      </c>
      <c r="C123" s="17" t="s">
        <v>28</v>
      </c>
      <c r="D123" s="18">
        <f>D124+D125+D126+D127</f>
        <v>0</v>
      </c>
      <c r="E123" s="18">
        <f>E124+E125+E126+E127</f>
        <v>0</v>
      </c>
      <c r="F123" s="18">
        <v>0</v>
      </c>
      <c r="G123" s="450" t="s">
        <v>48</v>
      </c>
      <c r="H123" s="450" t="s">
        <v>49</v>
      </c>
      <c r="I123" s="449" t="s">
        <v>50</v>
      </c>
      <c r="J123" s="451"/>
      <c r="K123" s="451"/>
      <c r="L123" s="20"/>
      <c r="M123" s="20"/>
      <c r="N123" s="20"/>
      <c r="O123" s="20"/>
      <c r="P123" s="20"/>
      <c r="Q123" s="21"/>
      <c r="R123" s="21"/>
      <c r="S123" s="21"/>
      <c r="T123" s="21"/>
    </row>
    <row r="124" spans="1:20" ht="12" customHeight="1" x14ac:dyDescent="0.25">
      <c r="A124" s="449"/>
      <c r="B124" s="450"/>
      <c r="C124" s="13" t="s">
        <v>30</v>
      </c>
      <c r="D124" s="15">
        <v>0</v>
      </c>
      <c r="E124" s="15">
        <v>0</v>
      </c>
      <c r="F124" s="15">
        <v>0</v>
      </c>
      <c r="G124" s="450"/>
      <c r="H124" s="450"/>
      <c r="I124" s="449"/>
      <c r="J124" s="451"/>
      <c r="K124" s="451"/>
    </row>
    <row r="125" spans="1:20" ht="12" customHeight="1" x14ac:dyDescent="0.25">
      <c r="A125" s="449"/>
      <c r="B125" s="450"/>
      <c r="C125" s="13" t="s">
        <v>32</v>
      </c>
      <c r="D125" s="15">
        <v>0</v>
      </c>
      <c r="E125" s="15">
        <v>0</v>
      </c>
      <c r="F125" s="15">
        <v>0</v>
      </c>
      <c r="G125" s="450"/>
      <c r="H125" s="450"/>
      <c r="I125" s="449"/>
      <c r="J125" s="451"/>
      <c r="K125" s="451"/>
    </row>
    <row r="126" spans="1:20" ht="12" customHeight="1" x14ac:dyDescent="0.25">
      <c r="A126" s="449"/>
      <c r="B126" s="450"/>
      <c r="C126" s="13" t="s">
        <v>34</v>
      </c>
      <c r="D126" s="15">
        <v>0</v>
      </c>
      <c r="E126" s="15">
        <v>0</v>
      </c>
      <c r="F126" s="15">
        <v>0</v>
      </c>
      <c r="G126" s="450"/>
      <c r="H126" s="450"/>
      <c r="I126" s="449"/>
      <c r="J126" s="451"/>
      <c r="K126" s="451"/>
    </row>
    <row r="127" spans="1:20" ht="12" customHeight="1" x14ac:dyDescent="0.25">
      <c r="A127" s="449"/>
      <c r="B127" s="450"/>
      <c r="C127" s="13" t="s">
        <v>36</v>
      </c>
      <c r="D127" s="15">
        <v>0</v>
      </c>
      <c r="E127" s="15">
        <v>0</v>
      </c>
      <c r="F127" s="15">
        <v>0</v>
      </c>
      <c r="G127" s="450"/>
      <c r="H127" s="450"/>
      <c r="I127" s="449"/>
      <c r="J127" s="451"/>
      <c r="K127" s="451"/>
    </row>
    <row r="128" spans="1:20" s="22" customFormat="1" ht="12" customHeight="1" x14ac:dyDescent="0.25">
      <c r="A128" s="449" t="s">
        <v>80</v>
      </c>
      <c r="B128" s="450" t="s">
        <v>64</v>
      </c>
      <c r="C128" s="17" t="s">
        <v>28</v>
      </c>
      <c r="D128" s="18">
        <f>D129+D130+D131+D132</f>
        <v>43509035.829999998</v>
      </c>
      <c r="E128" s="18">
        <f>E129+E130+E131+E132</f>
        <v>1922394.2100000002</v>
      </c>
      <c r="F128" s="18">
        <f t="shared" si="17"/>
        <v>4.4183792477297014E-2</v>
      </c>
      <c r="G128" s="450" t="s">
        <v>48</v>
      </c>
      <c r="H128" s="450" t="s">
        <v>49</v>
      </c>
      <c r="I128" s="449" t="s">
        <v>50</v>
      </c>
      <c r="J128" s="451"/>
      <c r="K128" s="451"/>
      <c r="L128" s="20"/>
      <c r="M128" s="20"/>
      <c r="N128" s="20"/>
      <c r="O128" s="20"/>
      <c r="P128" s="20"/>
      <c r="Q128" s="21"/>
      <c r="R128" s="21"/>
      <c r="S128" s="21"/>
      <c r="T128" s="21"/>
    </row>
    <row r="129" spans="1:20" ht="12" customHeight="1" x14ac:dyDescent="0.25">
      <c r="A129" s="449"/>
      <c r="B129" s="450"/>
      <c r="C129" s="13" t="s">
        <v>30</v>
      </c>
      <c r="D129" s="15">
        <v>7678055.8299999991</v>
      </c>
      <c r="E129" s="15">
        <v>1381679.1600000001</v>
      </c>
      <c r="F129" s="15">
        <f t="shared" si="17"/>
        <v>0.17995169488107254</v>
      </c>
      <c r="G129" s="450"/>
      <c r="H129" s="450"/>
      <c r="I129" s="449"/>
      <c r="J129" s="451"/>
      <c r="K129" s="451"/>
    </row>
    <row r="130" spans="1:20" ht="12" customHeight="1" x14ac:dyDescent="0.25">
      <c r="A130" s="449"/>
      <c r="B130" s="450"/>
      <c r="C130" s="13" t="s">
        <v>32</v>
      </c>
      <c r="D130" s="15">
        <v>13312280</v>
      </c>
      <c r="E130" s="15">
        <v>540715.05000000005</v>
      </c>
      <c r="F130" s="15">
        <f t="shared" si="17"/>
        <v>4.0617764199671287E-2</v>
      </c>
      <c r="G130" s="450"/>
      <c r="H130" s="450"/>
      <c r="I130" s="449"/>
      <c r="J130" s="451"/>
      <c r="K130" s="451"/>
    </row>
    <row r="131" spans="1:20" ht="12" customHeight="1" x14ac:dyDescent="0.25">
      <c r="A131" s="449"/>
      <c r="B131" s="450"/>
      <c r="C131" s="13" t="s">
        <v>34</v>
      </c>
      <c r="D131" s="15">
        <v>22518700</v>
      </c>
      <c r="E131" s="15">
        <v>0</v>
      </c>
      <c r="F131" s="15">
        <f t="shared" si="17"/>
        <v>0</v>
      </c>
      <c r="G131" s="450"/>
      <c r="H131" s="450"/>
      <c r="I131" s="449"/>
      <c r="J131" s="451"/>
      <c r="K131" s="451"/>
    </row>
    <row r="132" spans="1:20" ht="12" customHeight="1" x14ac:dyDescent="0.25">
      <c r="A132" s="449"/>
      <c r="B132" s="450"/>
      <c r="C132" s="13" t="s">
        <v>36</v>
      </c>
      <c r="D132" s="15">
        <v>0</v>
      </c>
      <c r="E132" s="15">
        <v>0</v>
      </c>
      <c r="F132" s="15">
        <v>0</v>
      </c>
      <c r="G132" s="450"/>
      <c r="H132" s="450"/>
      <c r="I132" s="449"/>
      <c r="J132" s="451"/>
      <c r="K132" s="451"/>
    </row>
    <row r="133" spans="1:20" s="22" customFormat="1" ht="12" customHeight="1" x14ac:dyDescent="0.25">
      <c r="A133" s="449" t="s">
        <v>81</v>
      </c>
      <c r="B133" s="450" t="s">
        <v>66</v>
      </c>
      <c r="C133" s="17" t="s">
        <v>28</v>
      </c>
      <c r="D133" s="18">
        <f>D134+D135+D136+D137</f>
        <v>0</v>
      </c>
      <c r="E133" s="18">
        <f>E134+E135+E136+E137</f>
        <v>0</v>
      </c>
      <c r="F133" s="18">
        <v>0</v>
      </c>
      <c r="G133" s="457"/>
      <c r="H133" s="19" t="s">
        <v>39</v>
      </c>
      <c r="I133" s="17"/>
      <c r="J133" s="451"/>
      <c r="K133" s="451"/>
      <c r="L133" s="20"/>
      <c r="M133" s="20"/>
      <c r="N133" s="20"/>
      <c r="O133" s="20"/>
      <c r="P133" s="20"/>
      <c r="Q133" s="21"/>
      <c r="R133" s="21"/>
      <c r="S133" s="21"/>
      <c r="T133" s="21"/>
    </row>
    <row r="134" spans="1:20" ht="12" customHeight="1" x14ac:dyDescent="0.25">
      <c r="A134" s="449"/>
      <c r="B134" s="450"/>
      <c r="C134" s="13" t="s">
        <v>30</v>
      </c>
      <c r="D134" s="15">
        <f>[1]табл.8!H127</f>
        <v>0</v>
      </c>
      <c r="E134" s="15">
        <v>0</v>
      </c>
      <c r="F134" s="15">
        <v>0</v>
      </c>
      <c r="G134" s="457"/>
      <c r="H134" s="16" t="s">
        <v>31</v>
      </c>
      <c r="I134" s="13"/>
      <c r="J134" s="451"/>
      <c r="K134" s="451"/>
    </row>
    <row r="135" spans="1:20" ht="12" customHeight="1" x14ac:dyDescent="0.25">
      <c r="A135" s="449"/>
      <c r="B135" s="450"/>
      <c r="C135" s="13" t="s">
        <v>32</v>
      </c>
      <c r="D135" s="15">
        <f>[1]табл.8!F127</f>
        <v>0</v>
      </c>
      <c r="E135" s="15">
        <v>0</v>
      </c>
      <c r="F135" s="15">
        <v>0</v>
      </c>
      <c r="G135" s="457"/>
      <c r="H135" s="16" t="s">
        <v>33</v>
      </c>
      <c r="I135" s="13"/>
      <c r="J135" s="451"/>
      <c r="K135" s="451"/>
    </row>
    <row r="136" spans="1:20" ht="12" customHeight="1" x14ac:dyDescent="0.25">
      <c r="A136" s="449"/>
      <c r="B136" s="450"/>
      <c r="C136" s="13" t="s">
        <v>34</v>
      </c>
      <c r="D136" s="15">
        <f>[1]табл.8!G127</f>
        <v>0</v>
      </c>
      <c r="E136" s="15">
        <v>0</v>
      </c>
      <c r="F136" s="15">
        <v>0</v>
      </c>
      <c r="G136" s="457"/>
      <c r="H136" s="16" t="s">
        <v>35</v>
      </c>
      <c r="I136" s="13"/>
      <c r="J136" s="451"/>
      <c r="K136" s="451"/>
    </row>
    <row r="137" spans="1:20" ht="12" customHeight="1" x14ac:dyDescent="0.25">
      <c r="A137" s="449"/>
      <c r="B137" s="450"/>
      <c r="C137" s="13" t="s">
        <v>36</v>
      </c>
      <c r="D137" s="15">
        <f>[1]табл.8!I127</f>
        <v>0</v>
      </c>
      <c r="E137" s="15">
        <v>0</v>
      </c>
      <c r="F137" s="15">
        <v>0</v>
      </c>
      <c r="G137" s="457"/>
      <c r="H137" s="16" t="s">
        <v>37</v>
      </c>
      <c r="I137" s="13"/>
      <c r="J137" s="451"/>
      <c r="K137" s="451"/>
    </row>
    <row r="138" spans="1:20" s="22" customFormat="1" ht="12" customHeight="1" x14ac:dyDescent="0.25">
      <c r="A138" s="490" t="s">
        <v>82</v>
      </c>
      <c r="B138" s="491" t="s">
        <v>83</v>
      </c>
      <c r="C138" s="42" t="s">
        <v>28</v>
      </c>
      <c r="D138" s="43">
        <f>D139+D140+D141+D142</f>
        <v>389549039.43000001</v>
      </c>
      <c r="E138" s="43">
        <f>E139+E140+E141+E142</f>
        <v>165680613.59999999</v>
      </c>
      <c r="F138" s="43">
        <f>E138/D138</f>
        <v>0.42531388048711122</v>
      </c>
      <c r="G138" s="492"/>
      <c r="H138" s="44" t="s">
        <v>39</v>
      </c>
      <c r="I138" s="42"/>
      <c r="J138" s="493"/>
      <c r="K138" s="493"/>
      <c r="L138" s="45">
        <f>L149+L154+L155+L164</f>
        <v>259661501.38</v>
      </c>
      <c r="M138" s="45">
        <f t="shared" ref="M138:P138" si="19">M149+M154+M155+M164</f>
        <v>0</v>
      </c>
      <c r="N138" s="45">
        <f t="shared" si="19"/>
        <v>259661501.38</v>
      </c>
      <c r="O138" s="45">
        <f t="shared" si="19"/>
        <v>147196332.94</v>
      </c>
      <c r="P138" s="45">
        <f t="shared" si="19"/>
        <v>112465168.44</v>
      </c>
      <c r="Q138" s="21">
        <f>Q149+Q154+Q155+Q164</f>
        <v>147196332.94</v>
      </c>
      <c r="R138" s="21"/>
      <c r="S138" s="21"/>
      <c r="T138" s="21"/>
    </row>
    <row r="139" spans="1:20" ht="12" customHeight="1" x14ac:dyDescent="0.25">
      <c r="A139" s="490"/>
      <c r="B139" s="491"/>
      <c r="C139" s="46" t="s">
        <v>30</v>
      </c>
      <c r="D139" s="47">
        <f>D144+D174+D204+D229</f>
        <v>326888055.01999998</v>
      </c>
      <c r="E139" s="47">
        <f>E144+E174+E204+E229</f>
        <v>139448579.66</v>
      </c>
      <c r="F139" s="43">
        <f t="shared" ref="F139:F142" si="20">E139/D139</f>
        <v>0.42659429587131326</v>
      </c>
      <c r="G139" s="492"/>
      <c r="H139" s="48" t="s">
        <v>31</v>
      </c>
      <c r="I139" s="46"/>
      <c r="J139" s="493"/>
      <c r="K139" s="493"/>
      <c r="L139" s="7"/>
      <c r="M139" s="7"/>
      <c r="N139" s="7"/>
      <c r="O139" s="7"/>
      <c r="P139" s="7"/>
    </row>
    <row r="140" spans="1:20" ht="12" customHeight="1" x14ac:dyDescent="0.25">
      <c r="A140" s="490"/>
      <c r="B140" s="491"/>
      <c r="C140" s="46" t="s">
        <v>32</v>
      </c>
      <c r="D140" s="47">
        <f t="shared" ref="D140:E142" si="21">D145+D175+D205+D230</f>
        <v>29369269.549999997</v>
      </c>
      <c r="E140" s="47">
        <f t="shared" si="21"/>
        <v>9528668.7199999988</v>
      </c>
      <c r="F140" s="43">
        <f t="shared" si="20"/>
        <v>0.32444350390730092</v>
      </c>
      <c r="G140" s="492"/>
      <c r="H140" s="48" t="s">
        <v>33</v>
      </c>
      <c r="I140" s="46"/>
      <c r="J140" s="493"/>
      <c r="K140" s="493"/>
    </row>
    <row r="141" spans="1:20" ht="12" customHeight="1" x14ac:dyDescent="0.25">
      <c r="A141" s="490"/>
      <c r="B141" s="491"/>
      <c r="C141" s="46" t="s">
        <v>34</v>
      </c>
      <c r="D141" s="47">
        <f t="shared" si="21"/>
        <v>6514425.8600000003</v>
      </c>
      <c r="E141" s="47">
        <f t="shared" si="21"/>
        <v>0</v>
      </c>
      <c r="F141" s="43">
        <f t="shared" si="20"/>
        <v>0</v>
      </c>
      <c r="G141" s="492"/>
      <c r="H141" s="48" t="s">
        <v>35</v>
      </c>
      <c r="I141" s="46"/>
      <c r="J141" s="493"/>
      <c r="K141" s="493"/>
    </row>
    <row r="142" spans="1:20" ht="12" customHeight="1" x14ac:dyDescent="0.25">
      <c r="A142" s="490"/>
      <c r="B142" s="491"/>
      <c r="C142" s="46" t="s">
        <v>36</v>
      </c>
      <c r="D142" s="47">
        <f t="shared" si="21"/>
        <v>26777289</v>
      </c>
      <c r="E142" s="47">
        <f t="shared" si="21"/>
        <v>16703365.219999999</v>
      </c>
      <c r="F142" s="43">
        <f t="shared" si="20"/>
        <v>0.62378851047990702</v>
      </c>
      <c r="G142" s="492"/>
      <c r="H142" s="48" t="s">
        <v>37</v>
      </c>
      <c r="I142" s="46"/>
      <c r="J142" s="493"/>
      <c r="K142" s="493"/>
    </row>
    <row r="143" spans="1:20" s="22" customFormat="1" ht="12" customHeight="1" x14ac:dyDescent="0.25">
      <c r="A143" s="486" t="s">
        <v>84</v>
      </c>
      <c r="B143" s="487" t="s">
        <v>85</v>
      </c>
      <c r="C143" s="49" t="s">
        <v>28</v>
      </c>
      <c r="D143" s="50">
        <f>D144+D145+D146+D147</f>
        <v>282946080.38</v>
      </c>
      <c r="E143" s="50">
        <f>E144+E145+E146+E147</f>
        <v>163899698.16</v>
      </c>
      <c r="F143" s="50">
        <f>E143/D143</f>
        <v>0.57926124277770774</v>
      </c>
      <c r="G143" s="488"/>
      <c r="H143" s="51" t="s">
        <v>39</v>
      </c>
      <c r="I143" s="49"/>
      <c r="J143" s="489"/>
      <c r="K143" s="489"/>
      <c r="L143" s="20"/>
      <c r="M143" s="20"/>
      <c r="N143" s="20"/>
      <c r="O143" s="20"/>
      <c r="P143" s="20"/>
      <c r="Q143" s="21"/>
      <c r="R143" s="21"/>
      <c r="S143" s="21"/>
      <c r="T143" s="21"/>
    </row>
    <row r="144" spans="1:20" ht="12" customHeight="1" x14ac:dyDescent="0.25">
      <c r="A144" s="486"/>
      <c r="B144" s="487"/>
      <c r="C144" s="52" t="s">
        <v>30</v>
      </c>
      <c r="D144" s="53">
        <f>D149+D154+D159+D164+D169</f>
        <v>240650522.52000001</v>
      </c>
      <c r="E144" s="53">
        <f>E149+E154+E159+E164+E169</f>
        <v>137667664.22</v>
      </c>
      <c r="F144" s="53">
        <f t="shared" ref="F144:F169" si="22">E144/D144</f>
        <v>0.57206468026080726</v>
      </c>
      <c r="G144" s="488"/>
      <c r="H144" s="54" t="s">
        <v>31</v>
      </c>
      <c r="I144" s="52"/>
      <c r="J144" s="489"/>
      <c r="K144" s="489"/>
    </row>
    <row r="145" spans="1:20" ht="12" customHeight="1" x14ac:dyDescent="0.25">
      <c r="A145" s="486"/>
      <c r="B145" s="487"/>
      <c r="C145" s="52" t="s">
        <v>32</v>
      </c>
      <c r="D145" s="53">
        <f t="shared" ref="D145:E147" si="23">D150+D155+D160+D165+D170</f>
        <v>19010978.859999999</v>
      </c>
      <c r="E145" s="53">
        <f t="shared" si="23"/>
        <v>9528668.7199999988</v>
      </c>
      <c r="F145" s="53">
        <f t="shared" si="22"/>
        <v>0.50121925810189449</v>
      </c>
      <c r="G145" s="488"/>
      <c r="H145" s="54" t="s">
        <v>33</v>
      </c>
      <c r="I145" s="52"/>
      <c r="J145" s="489"/>
      <c r="K145" s="489"/>
    </row>
    <row r="146" spans="1:20" ht="12" customHeight="1" x14ac:dyDescent="0.25">
      <c r="A146" s="486"/>
      <c r="B146" s="487"/>
      <c r="C146" s="52" t="s">
        <v>34</v>
      </c>
      <c r="D146" s="53">
        <f t="shared" si="23"/>
        <v>0</v>
      </c>
      <c r="E146" s="53">
        <f t="shared" si="23"/>
        <v>0</v>
      </c>
      <c r="F146" s="53">
        <v>0</v>
      </c>
      <c r="G146" s="488"/>
      <c r="H146" s="54" t="s">
        <v>35</v>
      </c>
      <c r="I146" s="52"/>
      <c r="J146" s="489"/>
      <c r="K146" s="489"/>
    </row>
    <row r="147" spans="1:20" ht="12" customHeight="1" x14ac:dyDescent="0.25">
      <c r="A147" s="486"/>
      <c r="B147" s="487"/>
      <c r="C147" s="52" t="s">
        <v>36</v>
      </c>
      <c r="D147" s="53">
        <f t="shared" si="23"/>
        <v>23284579</v>
      </c>
      <c r="E147" s="53">
        <f t="shared" si="23"/>
        <v>16703365.219999999</v>
      </c>
      <c r="F147" s="53">
        <f t="shared" si="22"/>
        <v>0.71735740723506314</v>
      </c>
      <c r="G147" s="488"/>
      <c r="H147" s="54" t="s">
        <v>37</v>
      </c>
      <c r="I147" s="52"/>
      <c r="J147" s="489"/>
      <c r="K147" s="489"/>
    </row>
    <row r="148" spans="1:20" s="22" customFormat="1" ht="12" customHeight="1" x14ac:dyDescent="0.25">
      <c r="A148" s="449" t="s">
        <v>86</v>
      </c>
      <c r="B148" s="450" t="s">
        <v>87</v>
      </c>
      <c r="C148" s="17" t="s">
        <v>28</v>
      </c>
      <c r="D148" s="18">
        <f>D149+D150+D151+D152</f>
        <v>131486877.08</v>
      </c>
      <c r="E148" s="18">
        <f>E149+E150+E151+E152</f>
        <v>82336719.719999999</v>
      </c>
      <c r="F148" s="18">
        <f t="shared" si="22"/>
        <v>0.62619724149280864</v>
      </c>
      <c r="G148" s="450" t="s">
        <v>48</v>
      </c>
      <c r="H148" s="450" t="s">
        <v>49</v>
      </c>
      <c r="I148" s="449" t="s">
        <v>50</v>
      </c>
      <c r="J148" s="451"/>
      <c r="K148" s="451"/>
      <c r="L148" s="20"/>
      <c r="M148" s="20"/>
      <c r="N148" s="20"/>
      <c r="O148" s="20"/>
      <c r="P148" s="20"/>
      <c r="Q148" s="21"/>
      <c r="R148" s="21"/>
      <c r="S148" s="21"/>
      <c r="T148" s="21"/>
    </row>
    <row r="149" spans="1:20" ht="12" customHeight="1" x14ac:dyDescent="0.25">
      <c r="A149" s="449"/>
      <c r="B149" s="450"/>
      <c r="C149" s="13" t="s">
        <v>30</v>
      </c>
      <c r="D149" s="15">
        <v>108202298.08</v>
      </c>
      <c r="E149" s="15">
        <v>65633354.500000007</v>
      </c>
      <c r="F149" s="15">
        <f t="shared" si="22"/>
        <v>0.60658004187187975</v>
      </c>
      <c r="G149" s="450"/>
      <c r="H149" s="450"/>
      <c r="I149" s="449"/>
      <c r="J149" s="451"/>
      <c r="K149" s="451"/>
      <c r="L149" s="7">
        <f>'[1]01 07 2021'!H57+'[1]01 07 2021'!H58+'[1]01 07 2021'!H59+'[1]01 07 2021'!H60+'[1]01 07 2021'!H61+'[1]01 07 2021'!H62+'[1]01 07 2021'!H79+'[1]01 07 2021'!H80</f>
        <v>108202298.08</v>
      </c>
      <c r="M149" s="7">
        <f>'[1]01 07 2021'!I57+'[1]01 07 2021'!I58+'[1]01 07 2021'!I59+'[1]01 07 2021'!I60+'[1]01 07 2021'!I61+'[1]01 07 2021'!I62+'[1]01 07 2021'!I79+'[1]01 07 2021'!I80</f>
        <v>0</v>
      </c>
      <c r="N149" s="7">
        <f>'[1]01 07 2021'!J57+'[1]01 07 2021'!J58+'[1]01 07 2021'!J59+'[1]01 07 2021'!J60+'[1]01 07 2021'!J61+'[1]01 07 2021'!J62+'[1]01 07 2021'!J79+'[1]01 07 2021'!J80</f>
        <v>108202298.08</v>
      </c>
      <c r="O149" s="7">
        <f>'[1]01 07 2021'!K57+'[1]01 07 2021'!K58+'[1]01 07 2021'!K59+'[1]01 07 2021'!K60+'[1]01 07 2021'!K61+'[1]01 07 2021'!K62+'[1]01 07 2021'!K79+'[1]01 07 2021'!K80</f>
        <v>65633354.500000007</v>
      </c>
      <c r="P149" s="7">
        <f>'[1]01 07 2021'!L57+'[1]01 07 2021'!L58+'[1]01 07 2021'!L59+'[1]01 07 2021'!L60+'[1]01 07 2021'!L61+'[1]01 07 2021'!L62+'[1]01 07 2021'!L79+'[1]01 07 2021'!L80</f>
        <v>42568943.579999998</v>
      </c>
      <c r="Q149" s="7">
        <f>'[1]01 07 2021'!M57+'[1]01 07 2021'!M58+'[1]01 07 2021'!M59+'[1]01 07 2021'!M60+'[1]01 07 2021'!M61+'[1]01 07 2021'!M62+'[1]01 07 2021'!M79+'[1]01 07 2021'!M80</f>
        <v>65633354.500000007</v>
      </c>
    </row>
    <row r="150" spans="1:20" ht="12" customHeight="1" x14ac:dyDescent="0.25">
      <c r="A150" s="449"/>
      <c r="B150" s="450"/>
      <c r="C150" s="13" t="s">
        <v>32</v>
      </c>
      <c r="D150" s="15">
        <v>0</v>
      </c>
      <c r="E150" s="15">
        <v>0</v>
      </c>
      <c r="F150" s="15">
        <v>0</v>
      </c>
      <c r="G150" s="450"/>
      <c r="H150" s="450"/>
      <c r="I150" s="449"/>
      <c r="J150" s="451"/>
      <c r="K150" s="451"/>
    </row>
    <row r="151" spans="1:20" ht="12" customHeight="1" x14ac:dyDescent="0.25">
      <c r="A151" s="449"/>
      <c r="B151" s="450"/>
      <c r="C151" s="13" t="s">
        <v>34</v>
      </c>
      <c r="D151" s="15">
        <v>0</v>
      </c>
      <c r="E151" s="15">
        <v>0</v>
      </c>
      <c r="F151" s="15">
        <v>0</v>
      </c>
      <c r="G151" s="450"/>
      <c r="H151" s="450"/>
      <c r="I151" s="449"/>
      <c r="J151" s="451"/>
      <c r="K151" s="451"/>
    </row>
    <row r="152" spans="1:20" ht="12" customHeight="1" x14ac:dyDescent="0.25">
      <c r="A152" s="449"/>
      <c r="B152" s="450"/>
      <c r="C152" s="13" t="s">
        <v>36</v>
      </c>
      <c r="D152" s="15">
        <v>23284579</v>
      </c>
      <c r="E152" s="15">
        <v>16703365.219999999</v>
      </c>
      <c r="F152" s="15">
        <f t="shared" si="22"/>
        <v>0.71735740723506314</v>
      </c>
      <c r="G152" s="450"/>
      <c r="H152" s="450"/>
      <c r="I152" s="449"/>
      <c r="J152" s="451"/>
      <c r="K152" s="451"/>
    </row>
    <row r="153" spans="1:20" s="22" customFormat="1" ht="12" customHeight="1" x14ac:dyDescent="0.25">
      <c r="A153" s="449" t="s">
        <v>88</v>
      </c>
      <c r="B153" s="450" t="s">
        <v>89</v>
      </c>
      <c r="C153" s="17" t="s">
        <v>28</v>
      </c>
      <c r="D153" s="18">
        <f>D154+D155+D156+D157</f>
        <v>20799343.410000004</v>
      </c>
      <c r="E153" s="18">
        <f>E154+E155+E156+E157</f>
        <v>10422850.999999998</v>
      </c>
      <c r="F153" s="18">
        <f t="shared" si="22"/>
        <v>0.50111442436153308</v>
      </c>
      <c r="G153" s="450" t="s">
        <v>48</v>
      </c>
      <c r="H153" s="450" t="s">
        <v>49</v>
      </c>
      <c r="I153" s="449" t="s">
        <v>50</v>
      </c>
      <c r="J153" s="451"/>
      <c r="K153" s="451"/>
      <c r="L153" s="20"/>
      <c r="M153" s="20"/>
      <c r="N153" s="20"/>
      <c r="O153" s="20"/>
      <c r="P153" s="20"/>
      <c r="Q153" s="21"/>
      <c r="R153" s="21"/>
      <c r="S153" s="21"/>
      <c r="T153" s="21"/>
    </row>
    <row r="154" spans="1:20" ht="12" customHeight="1" x14ac:dyDescent="0.25">
      <c r="A154" s="449"/>
      <c r="B154" s="450"/>
      <c r="C154" s="13" t="s">
        <v>30</v>
      </c>
      <c r="D154" s="15">
        <v>8249250.290000001</v>
      </c>
      <c r="E154" s="33">
        <v>4124625.15</v>
      </c>
      <c r="F154" s="15">
        <f t="shared" si="22"/>
        <v>0.5000000006061156</v>
      </c>
      <c r="G154" s="450"/>
      <c r="H154" s="450"/>
      <c r="I154" s="449"/>
      <c r="J154" s="451"/>
      <c r="K154" s="451"/>
      <c r="L154" s="12">
        <f>'[1]01 07 2021'!H66+'[1]01 07 2021'!H67+'[1]01 07 2021'!H68+'[1]01 07 2021'!H69</f>
        <v>112785444.44</v>
      </c>
      <c r="M154" s="12">
        <f>'[1]01 07 2021'!I66+'[1]01 07 2021'!I67+'[1]01 07 2021'!I68+'[1]01 07 2021'!I69</f>
        <v>0</v>
      </c>
      <c r="N154" s="12">
        <f>'[1]01 07 2021'!J66+'[1]01 07 2021'!J67+'[1]01 07 2021'!J68+'[1]01 07 2021'!J69</f>
        <v>112785444.44</v>
      </c>
      <c r="O154" s="12">
        <f>'[1]01 07 2021'!K66+'[1]01 07 2021'!K67+'[1]01 07 2021'!K68+'[1]01 07 2021'!K69</f>
        <v>65786094.049999997</v>
      </c>
      <c r="P154" s="12">
        <f>'[1]01 07 2021'!L66+'[1]01 07 2021'!L67+'[1]01 07 2021'!L68+'[1]01 07 2021'!L69</f>
        <v>46999350.390000001</v>
      </c>
      <c r="Q154" s="7">
        <f>'[1]01 07 2021'!M66+'[1]01 07 2021'!M67+'[1]01 07 2021'!M68+'[1]01 07 2021'!M69</f>
        <v>65786094.049999997</v>
      </c>
      <c r="R154" s="7">
        <f>D154+D159</f>
        <v>112785444.44000001</v>
      </c>
      <c r="S154" s="7">
        <f>E154+E159</f>
        <v>65786094.049999997</v>
      </c>
    </row>
    <row r="155" spans="1:20" ht="12" customHeight="1" x14ac:dyDescent="0.25">
      <c r="A155" s="449"/>
      <c r="B155" s="450"/>
      <c r="C155" s="13" t="s">
        <v>32</v>
      </c>
      <c r="D155" s="15">
        <v>12550093.120000001</v>
      </c>
      <c r="E155" s="33">
        <v>6298225.8499999987</v>
      </c>
      <c r="F155" s="15">
        <f t="shared" si="22"/>
        <v>0.50184694167432586</v>
      </c>
      <c r="G155" s="450"/>
      <c r="H155" s="450"/>
      <c r="I155" s="449"/>
      <c r="J155" s="451"/>
      <c r="K155" s="451"/>
      <c r="L155" s="12">
        <f>'[1]01 07 2021'!H64+'[1]01 07 2021'!H65</f>
        <v>19010978.859999999</v>
      </c>
      <c r="M155" s="12">
        <f>'[1]01 07 2021'!I64+'[1]01 07 2021'!I65</f>
        <v>0</v>
      </c>
      <c r="N155" s="12">
        <f>'[1]01 07 2021'!J64+'[1]01 07 2021'!J65</f>
        <v>19010978.859999999</v>
      </c>
      <c r="O155" s="12">
        <f>'[1]01 07 2021'!K64+'[1]01 07 2021'!K65</f>
        <v>9528668.7199999988</v>
      </c>
      <c r="P155" s="12">
        <f>'[1]01 07 2021'!L64+'[1]01 07 2021'!L65</f>
        <v>9482310.1400000006</v>
      </c>
      <c r="Q155" s="7">
        <f>'[1]01 07 2021'!M64+'[1]01 07 2021'!M65</f>
        <v>9528668.7199999988</v>
      </c>
      <c r="R155" s="7">
        <f>D155+D160</f>
        <v>19010978.859999999</v>
      </c>
      <c r="S155" s="7">
        <f>E155+E160</f>
        <v>9528668.7199999988</v>
      </c>
    </row>
    <row r="156" spans="1:20" ht="12" customHeight="1" x14ac:dyDescent="0.25">
      <c r="A156" s="449"/>
      <c r="B156" s="450"/>
      <c r="C156" s="13" t="s">
        <v>34</v>
      </c>
      <c r="D156" s="15">
        <v>0</v>
      </c>
      <c r="E156" s="15">
        <v>0</v>
      </c>
      <c r="F156" s="15">
        <v>0</v>
      </c>
      <c r="G156" s="450"/>
      <c r="H156" s="450"/>
      <c r="I156" s="449"/>
      <c r="J156" s="451"/>
      <c r="K156" s="451"/>
      <c r="L156" s="12"/>
    </row>
    <row r="157" spans="1:20" ht="12" customHeight="1" x14ac:dyDescent="0.25">
      <c r="A157" s="449"/>
      <c r="B157" s="450"/>
      <c r="C157" s="13" t="s">
        <v>36</v>
      </c>
      <c r="D157" s="15">
        <v>0</v>
      </c>
      <c r="E157" s="15">
        <v>0</v>
      </c>
      <c r="F157" s="15">
        <v>0</v>
      </c>
      <c r="G157" s="450"/>
      <c r="H157" s="450"/>
      <c r="I157" s="449"/>
      <c r="J157" s="451"/>
      <c r="K157" s="451"/>
      <c r="L157" s="12"/>
    </row>
    <row r="158" spans="1:20" s="22" customFormat="1" ht="19.5" customHeight="1" x14ac:dyDescent="0.25">
      <c r="A158" s="449" t="s">
        <v>90</v>
      </c>
      <c r="B158" s="450" t="s">
        <v>91</v>
      </c>
      <c r="C158" s="17" t="s">
        <v>28</v>
      </c>
      <c r="D158" s="18">
        <f>D159+D160+D161+D162</f>
        <v>110997079.89</v>
      </c>
      <c r="E158" s="18">
        <f>E159+E160+E161+E162</f>
        <v>64891911.769999996</v>
      </c>
      <c r="F158" s="18">
        <f t="shared" si="22"/>
        <v>0.58462719770924598</v>
      </c>
      <c r="G158" s="457"/>
      <c r="H158" s="19" t="s">
        <v>39</v>
      </c>
      <c r="I158" s="17"/>
      <c r="J158" s="451"/>
      <c r="K158" s="451"/>
      <c r="L158" s="12"/>
      <c r="M158" s="20"/>
      <c r="N158" s="20"/>
      <c r="O158" s="20"/>
      <c r="P158" s="20"/>
      <c r="Q158" s="21"/>
      <c r="R158" s="21"/>
      <c r="S158" s="21"/>
      <c r="T158" s="21"/>
    </row>
    <row r="159" spans="1:20" ht="12" customHeight="1" x14ac:dyDescent="0.25">
      <c r="A159" s="449"/>
      <c r="B159" s="450"/>
      <c r="C159" s="13" t="s">
        <v>30</v>
      </c>
      <c r="D159" s="15">
        <v>104536194.15000001</v>
      </c>
      <c r="E159" s="33">
        <v>61661468.899999999</v>
      </c>
      <c r="F159" s="15">
        <f t="shared" si="22"/>
        <v>0.58985760292288192</v>
      </c>
      <c r="G159" s="457"/>
      <c r="H159" s="16" t="s">
        <v>31</v>
      </c>
      <c r="I159" s="13"/>
      <c r="J159" s="451"/>
      <c r="K159" s="451"/>
      <c r="L159" s="12"/>
    </row>
    <row r="160" spans="1:20" ht="12" customHeight="1" x14ac:dyDescent="0.25">
      <c r="A160" s="449"/>
      <c r="B160" s="450"/>
      <c r="C160" s="13" t="s">
        <v>32</v>
      </c>
      <c r="D160" s="15">
        <v>6460885.7400000002</v>
      </c>
      <c r="E160" s="33">
        <v>3230442.87</v>
      </c>
      <c r="F160" s="15">
        <f t="shared" si="22"/>
        <v>0.5</v>
      </c>
      <c r="G160" s="457"/>
      <c r="H160" s="16" t="s">
        <v>33</v>
      </c>
      <c r="I160" s="13"/>
      <c r="J160" s="451"/>
      <c r="K160" s="451"/>
      <c r="L160" s="12"/>
    </row>
    <row r="161" spans="1:20" ht="12" customHeight="1" x14ac:dyDescent="0.25">
      <c r="A161" s="449"/>
      <c r="B161" s="450"/>
      <c r="C161" s="13" t="s">
        <v>34</v>
      </c>
      <c r="D161" s="15">
        <v>0</v>
      </c>
      <c r="E161" s="15">
        <v>0</v>
      </c>
      <c r="F161" s="15">
        <v>0</v>
      </c>
      <c r="G161" s="457"/>
      <c r="H161" s="16" t="s">
        <v>35</v>
      </c>
      <c r="I161" s="13"/>
      <c r="J161" s="451"/>
      <c r="K161" s="451"/>
    </row>
    <row r="162" spans="1:20" ht="12" customHeight="1" x14ac:dyDescent="0.25">
      <c r="A162" s="449"/>
      <c r="B162" s="450"/>
      <c r="C162" s="13" t="s">
        <v>36</v>
      </c>
      <c r="D162" s="15">
        <v>0</v>
      </c>
      <c r="E162" s="15">
        <v>0</v>
      </c>
      <c r="F162" s="15">
        <v>0</v>
      </c>
      <c r="G162" s="457"/>
      <c r="H162" s="16" t="s">
        <v>37</v>
      </c>
      <c r="I162" s="13"/>
      <c r="J162" s="451"/>
      <c r="K162" s="451"/>
    </row>
    <row r="163" spans="1:20" s="22" customFormat="1" ht="12" customHeight="1" x14ac:dyDescent="0.25">
      <c r="A163" s="449" t="s">
        <v>92</v>
      </c>
      <c r="B163" s="450" t="s">
        <v>93</v>
      </c>
      <c r="C163" s="17" t="s">
        <v>28</v>
      </c>
      <c r="D163" s="18">
        <f>D164+D165+D166+D167</f>
        <v>19372197</v>
      </c>
      <c r="E163" s="18">
        <f>E164+E165+E166+E167</f>
        <v>6102923.6699999999</v>
      </c>
      <c r="F163" s="18">
        <f t="shared" si="22"/>
        <v>0.31503518521931201</v>
      </c>
      <c r="G163" s="457"/>
      <c r="H163" s="19" t="s">
        <v>39</v>
      </c>
      <c r="I163" s="17"/>
      <c r="J163" s="451"/>
      <c r="K163" s="451"/>
      <c r="L163" s="20"/>
      <c r="M163" s="20"/>
      <c r="N163" s="20"/>
      <c r="O163" s="20"/>
      <c r="P163" s="20"/>
      <c r="Q163" s="21"/>
      <c r="R163" s="21"/>
      <c r="S163" s="21"/>
      <c r="T163" s="21"/>
    </row>
    <row r="164" spans="1:20" ht="12" customHeight="1" x14ac:dyDescent="0.25">
      <c r="A164" s="449"/>
      <c r="B164" s="450"/>
      <c r="C164" s="13" t="s">
        <v>30</v>
      </c>
      <c r="D164" s="15">
        <v>19372197</v>
      </c>
      <c r="E164" s="33">
        <v>6102923.6699999999</v>
      </c>
      <c r="F164" s="15">
        <f t="shared" si="22"/>
        <v>0.31503518521931201</v>
      </c>
      <c r="G164" s="457"/>
      <c r="H164" s="16" t="s">
        <v>31</v>
      </c>
      <c r="I164" s="13"/>
      <c r="J164" s="451"/>
      <c r="K164" s="451"/>
      <c r="L164" s="7">
        <f>'[1]01 07 2021'!H63</f>
        <v>19662780</v>
      </c>
      <c r="M164" s="7">
        <f>'[1]01 07 2021'!I63</f>
        <v>0</v>
      </c>
      <c r="N164" s="7">
        <f>'[1]01 07 2021'!J63</f>
        <v>19662780</v>
      </c>
      <c r="O164" s="7">
        <f>'[1]01 07 2021'!K63</f>
        <v>6248215.6699999999</v>
      </c>
      <c r="P164" s="7">
        <f>'[1]01 07 2021'!L63</f>
        <v>13414564.33</v>
      </c>
      <c r="Q164" s="7">
        <f>'[1]01 07 2021'!M63</f>
        <v>6248215.6699999999</v>
      </c>
    </row>
    <row r="165" spans="1:20" ht="12" customHeight="1" x14ac:dyDescent="0.25">
      <c r="A165" s="449"/>
      <c r="B165" s="450"/>
      <c r="C165" s="13" t="s">
        <v>32</v>
      </c>
      <c r="D165" s="15">
        <v>0</v>
      </c>
      <c r="E165" s="15">
        <v>0</v>
      </c>
      <c r="F165" s="15">
        <v>0</v>
      </c>
      <c r="G165" s="457"/>
      <c r="H165" s="16" t="s">
        <v>33</v>
      </c>
      <c r="I165" s="13"/>
      <c r="J165" s="451"/>
      <c r="K165" s="451"/>
    </row>
    <row r="166" spans="1:20" ht="12" customHeight="1" x14ac:dyDescent="0.25">
      <c r="A166" s="449"/>
      <c r="B166" s="450"/>
      <c r="C166" s="13" t="s">
        <v>34</v>
      </c>
      <c r="D166" s="15">
        <v>0</v>
      </c>
      <c r="E166" s="15">
        <v>0</v>
      </c>
      <c r="F166" s="15">
        <v>0</v>
      </c>
      <c r="G166" s="457"/>
      <c r="H166" s="16" t="s">
        <v>35</v>
      </c>
      <c r="I166" s="13"/>
      <c r="J166" s="451"/>
      <c r="K166" s="451"/>
    </row>
    <row r="167" spans="1:20" ht="12" customHeight="1" x14ac:dyDescent="0.25">
      <c r="A167" s="449"/>
      <c r="B167" s="450"/>
      <c r="C167" s="13" t="s">
        <v>36</v>
      </c>
      <c r="D167" s="15">
        <v>0</v>
      </c>
      <c r="E167" s="15">
        <v>0</v>
      </c>
      <c r="F167" s="15">
        <v>0</v>
      </c>
      <c r="G167" s="457"/>
      <c r="H167" s="16" t="s">
        <v>37</v>
      </c>
      <c r="I167" s="13"/>
      <c r="J167" s="451"/>
      <c r="K167" s="451"/>
    </row>
    <row r="168" spans="1:20" s="22" customFormat="1" ht="15" customHeight="1" x14ac:dyDescent="0.25">
      <c r="A168" s="449" t="s">
        <v>94</v>
      </c>
      <c r="B168" s="450" t="s">
        <v>95</v>
      </c>
      <c r="C168" s="17" t="s">
        <v>28</v>
      </c>
      <c r="D168" s="18">
        <f>D169+D170+D171+D172</f>
        <v>290583</v>
      </c>
      <c r="E168" s="18">
        <f>E169+E170+E171+E172</f>
        <v>145292</v>
      </c>
      <c r="F168" s="18">
        <f t="shared" si="22"/>
        <v>0.50000172067877335</v>
      </c>
      <c r="G168" s="450" t="s">
        <v>48</v>
      </c>
      <c r="H168" s="450" t="s">
        <v>49</v>
      </c>
      <c r="I168" s="449" t="s">
        <v>50</v>
      </c>
      <c r="J168" s="451"/>
      <c r="K168" s="451"/>
      <c r="L168" s="20"/>
      <c r="M168" s="20"/>
      <c r="N168" s="20"/>
      <c r="O168" s="20"/>
      <c r="P168" s="20"/>
      <c r="Q168" s="21"/>
      <c r="R168" s="21"/>
      <c r="S168" s="21"/>
      <c r="T168" s="21"/>
    </row>
    <row r="169" spans="1:20" ht="15" customHeight="1" x14ac:dyDescent="0.25">
      <c r="A169" s="449"/>
      <c r="B169" s="450"/>
      <c r="C169" s="13" t="s">
        <v>30</v>
      </c>
      <c r="D169" s="15">
        <v>290583</v>
      </c>
      <c r="E169" s="33">
        <v>145292</v>
      </c>
      <c r="F169" s="15">
        <f t="shared" si="22"/>
        <v>0.50000172067877335</v>
      </c>
      <c r="G169" s="450"/>
      <c r="H169" s="450"/>
      <c r="I169" s="449"/>
      <c r="J169" s="451"/>
      <c r="K169" s="451"/>
    </row>
    <row r="170" spans="1:20" ht="15" customHeight="1" x14ac:dyDescent="0.25">
      <c r="A170" s="449"/>
      <c r="B170" s="450"/>
      <c r="C170" s="13" t="s">
        <v>32</v>
      </c>
      <c r="D170" s="15">
        <v>0</v>
      </c>
      <c r="E170" s="15">
        <v>0</v>
      </c>
      <c r="F170" s="15">
        <v>0</v>
      </c>
      <c r="G170" s="450"/>
      <c r="H170" s="450"/>
      <c r="I170" s="449"/>
      <c r="J170" s="451"/>
      <c r="K170" s="451"/>
    </row>
    <row r="171" spans="1:20" ht="15" customHeight="1" x14ac:dyDescent="0.25">
      <c r="A171" s="449"/>
      <c r="B171" s="450"/>
      <c r="C171" s="13" t="s">
        <v>34</v>
      </c>
      <c r="D171" s="15">
        <v>0</v>
      </c>
      <c r="E171" s="15">
        <v>0</v>
      </c>
      <c r="F171" s="15">
        <v>0</v>
      </c>
      <c r="G171" s="450"/>
      <c r="H171" s="450"/>
      <c r="I171" s="449"/>
      <c r="J171" s="451"/>
      <c r="K171" s="451"/>
    </row>
    <row r="172" spans="1:20" ht="15" customHeight="1" x14ac:dyDescent="0.25">
      <c r="A172" s="449"/>
      <c r="B172" s="450"/>
      <c r="C172" s="13" t="s">
        <v>36</v>
      </c>
      <c r="D172" s="15">
        <v>0</v>
      </c>
      <c r="E172" s="15">
        <v>0</v>
      </c>
      <c r="F172" s="15">
        <v>0</v>
      </c>
      <c r="G172" s="450"/>
      <c r="H172" s="450"/>
      <c r="I172" s="449"/>
      <c r="J172" s="451"/>
      <c r="K172" s="451"/>
    </row>
    <row r="173" spans="1:20" s="60" customFormat="1" ht="12" customHeight="1" x14ac:dyDescent="0.25">
      <c r="A173" s="482" t="s">
        <v>96</v>
      </c>
      <c r="B173" s="483" t="s">
        <v>97</v>
      </c>
      <c r="C173" s="55" t="s">
        <v>28</v>
      </c>
      <c r="D173" s="56">
        <f>D174+D175+D176+D177</f>
        <v>87906345.670000017</v>
      </c>
      <c r="E173" s="56">
        <f>E174+E175+E176+E177</f>
        <v>0</v>
      </c>
      <c r="F173" s="56">
        <f>E173/D173</f>
        <v>0</v>
      </c>
      <c r="G173" s="484"/>
      <c r="H173" s="57" t="s">
        <v>39</v>
      </c>
      <c r="I173" s="55"/>
      <c r="J173" s="485"/>
      <c r="K173" s="485"/>
      <c r="L173" s="58"/>
      <c r="M173" s="58"/>
      <c r="N173" s="58"/>
      <c r="O173" s="58"/>
      <c r="P173" s="58"/>
      <c r="Q173" s="59"/>
      <c r="R173" s="59"/>
      <c r="S173" s="59"/>
      <c r="T173" s="59"/>
    </row>
    <row r="174" spans="1:20" s="60" customFormat="1" ht="12" customHeight="1" x14ac:dyDescent="0.25">
      <c r="A174" s="482"/>
      <c r="B174" s="483"/>
      <c r="C174" s="55" t="s">
        <v>30</v>
      </c>
      <c r="D174" s="56">
        <f>D179+D184+D189+D194+D199</f>
        <v>80550329.220000014</v>
      </c>
      <c r="E174" s="56">
        <f>E179+E184+E189+E194+E199</f>
        <v>0</v>
      </c>
      <c r="F174" s="56">
        <f t="shared" ref="F174:F189" si="24">E174/D174</f>
        <v>0</v>
      </c>
      <c r="G174" s="484"/>
      <c r="H174" s="57" t="s">
        <v>31</v>
      </c>
      <c r="I174" s="55"/>
      <c r="J174" s="485"/>
      <c r="K174" s="485"/>
      <c r="L174" s="58"/>
      <c r="M174" s="58"/>
      <c r="N174" s="58"/>
      <c r="O174" s="58"/>
      <c r="P174" s="58"/>
      <c r="Q174" s="59"/>
      <c r="R174" s="59"/>
      <c r="S174" s="59"/>
      <c r="T174" s="59"/>
    </row>
    <row r="175" spans="1:20" s="60" customFormat="1" ht="12" customHeight="1" x14ac:dyDescent="0.25">
      <c r="A175" s="482"/>
      <c r="B175" s="483"/>
      <c r="C175" s="55" t="s">
        <v>32</v>
      </c>
      <c r="D175" s="56">
        <f t="shared" ref="D175:E177" si="25">D180+D185+D190+D195+D200</f>
        <v>3863306.45</v>
      </c>
      <c r="E175" s="56">
        <f t="shared" si="25"/>
        <v>0</v>
      </c>
      <c r="F175" s="56">
        <f t="shared" si="24"/>
        <v>0</v>
      </c>
      <c r="G175" s="484"/>
      <c r="H175" s="57" t="s">
        <v>33</v>
      </c>
      <c r="I175" s="55"/>
      <c r="J175" s="485"/>
      <c r="K175" s="485"/>
      <c r="L175" s="58"/>
      <c r="M175" s="58"/>
      <c r="N175" s="58"/>
      <c r="O175" s="58"/>
      <c r="P175" s="58"/>
      <c r="Q175" s="59"/>
      <c r="R175" s="59"/>
      <c r="S175" s="59"/>
      <c r="T175" s="59"/>
    </row>
    <row r="176" spans="1:20" s="60" customFormat="1" ht="12" customHeight="1" x14ac:dyDescent="0.25">
      <c r="A176" s="482"/>
      <c r="B176" s="483"/>
      <c r="C176" s="55" t="s">
        <v>34</v>
      </c>
      <c r="D176" s="56">
        <f t="shared" si="25"/>
        <v>0</v>
      </c>
      <c r="E176" s="56">
        <f t="shared" si="25"/>
        <v>0</v>
      </c>
      <c r="F176" s="56">
        <v>0</v>
      </c>
      <c r="G176" s="484"/>
      <c r="H176" s="57" t="s">
        <v>35</v>
      </c>
      <c r="I176" s="55"/>
      <c r="J176" s="485"/>
      <c r="K176" s="485"/>
      <c r="L176" s="58"/>
      <c r="M176" s="58"/>
      <c r="N176" s="58"/>
      <c r="O176" s="58"/>
      <c r="P176" s="58"/>
      <c r="Q176" s="59"/>
      <c r="R176" s="59"/>
      <c r="S176" s="59"/>
      <c r="T176" s="59"/>
    </row>
    <row r="177" spans="1:20" s="60" customFormat="1" ht="12" customHeight="1" x14ac:dyDescent="0.25">
      <c r="A177" s="482"/>
      <c r="B177" s="483"/>
      <c r="C177" s="55" t="s">
        <v>36</v>
      </c>
      <c r="D177" s="56">
        <f t="shared" si="25"/>
        <v>3492710</v>
      </c>
      <c r="E177" s="56">
        <f t="shared" si="25"/>
        <v>0</v>
      </c>
      <c r="F177" s="56">
        <f t="shared" si="24"/>
        <v>0</v>
      </c>
      <c r="G177" s="484"/>
      <c r="H177" s="57" t="s">
        <v>37</v>
      </c>
      <c r="I177" s="55"/>
      <c r="J177" s="485"/>
      <c r="K177" s="485"/>
      <c r="L177" s="58"/>
      <c r="M177" s="58"/>
      <c r="N177" s="58"/>
      <c r="O177" s="58"/>
      <c r="P177" s="58"/>
      <c r="Q177" s="59"/>
      <c r="R177" s="59"/>
      <c r="S177" s="59"/>
      <c r="T177" s="59"/>
    </row>
    <row r="178" spans="1:20" s="22" customFormat="1" ht="12" customHeight="1" x14ac:dyDescent="0.25">
      <c r="A178" s="480" t="s">
        <v>98</v>
      </c>
      <c r="B178" s="481" t="s">
        <v>99</v>
      </c>
      <c r="C178" s="61" t="s">
        <v>28</v>
      </c>
      <c r="D178" s="62">
        <f>D179+D180+D181+D182</f>
        <v>28803175.300000001</v>
      </c>
      <c r="E178" s="62">
        <f>E179+E180+E181+E182</f>
        <v>0</v>
      </c>
      <c r="F178" s="62">
        <f t="shared" si="24"/>
        <v>0</v>
      </c>
      <c r="G178" s="450" t="s">
        <v>48</v>
      </c>
      <c r="H178" s="450" t="s">
        <v>49</v>
      </c>
      <c r="I178" s="449" t="s">
        <v>50</v>
      </c>
      <c r="J178" s="451"/>
      <c r="K178" s="451"/>
      <c r="L178" s="20"/>
      <c r="M178" s="20"/>
      <c r="N178" s="20"/>
      <c r="O178" s="20"/>
      <c r="P178" s="20"/>
      <c r="Q178" s="21"/>
      <c r="R178" s="21"/>
      <c r="S178" s="21"/>
      <c r="T178" s="21"/>
    </row>
    <row r="179" spans="1:20" ht="12" customHeight="1" x14ac:dyDescent="0.25">
      <c r="A179" s="480"/>
      <c r="B179" s="481"/>
      <c r="C179" s="63" t="s">
        <v>30</v>
      </c>
      <c r="D179" s="64">
        <f>[1]табл.8!H181</f>
        <v>25310465.300000001</v>
      </c>
      <c r="E179" s="64"/>
      <c r="F179" s="64">
        <f t="shared" si="24"/>
        <v>0</v>
      </c>
      <c r="G179" s="450"/>
      <c r="H179" s="450"/>
      <c r="I179" s="449"/>
      <c r="J179" s="451"/>
      <c r="K179" s="451"/>
    </row>
    <row r="180" spans="1:20" ht="12" customHeight="1" x14ac:dyDescent="0.25">
      <c r="A180" s="480"/>
      <c r="B180" s="481"/>
      <c r="C180" s="63" t="s">
        <v>32</v>
      </c>
      <c r="D180" s="64">
        <f>[1]табл.8!F181</f>
        <v>0</v>
      </c>
      <c r="E180" s="64">
        <v>0</v>
      </c>
      <c r="F180" s="64">
        <v>0</v>
      </c>
      <c r="G180" s="450"/>
      <c r="H180" s="450"/>
      <c r="I180" s="449"/>
      <c r="J180" s="451"/>
      <c r="K180" s="451"/>
    </row>
    <row r="181" spans="1:20" ht="12" customHeight="1" x14ac:dyDescent="0.25">
      <c r="A181" s="480"/>
      <c r="B181" s="481"/>
      <c r="C181" s="63" t="s">
        <v>34</v>
      </c>
      <c r="D181" s="64">
        <f>[1]табл.8!G181</f>
        <v>0</v>
      </c>
      <c r="E181" s="64">
        <v>0</v>
      </c>
      <c r="F181" s="64">
        <v>0</v>
      </c>
      <c r="G181" s="450"/>
      <c r="H181" s="450"/>
      <c r="I181" s="449"/>
      <c r="J181" s="451"/>
      <c r="K181" s="451"/>
    </row>
    <row r="182" spans="1:20" ht="12" customHeight="1" x14ac:dyDescent="0.25">
      <c r="A182" s="480"/>
      <c r="B182" s="481"/>
      <c r="C182" s="63" t="s">
        <v>36</v>
      </c>
      <c r="D182" s="64">
        <f>[1]табл.8!I181</f>
        <v>3492710</v>
      </c>
      <c r="E182" s="64"/>
      <c r="F182" s="64">
        <f t="shared" si="24"/>
        <v>0</v>
      </c>
      <c r="G182" s="450"/>
      <c r="H182" s="450"/>
      <c r="I182" s="449"/>
      <c r="J182" s="451"/>
      <c r="K182" s="451"/>
    </row>
    <row r="183" spans="1:20" s="22" customFormat="1" ht="18.75" customHeight="1" x14ac:dyDescent="0.25">
      <c r="A183" s="449" t="s">
        <v>100</v>
      </c>
      <c r="B183" s="450" t="s">
        <v>101</v>
      </c>
      <c r="C183" s="17" t="s">
        <v>28</v>
      </c>
      <c r="D183" s="18">
        <f>D184+D185+D186+D187</f>
        <v>56427122.810000002</v>
      </c>
      <c r="E183" s="18">
        <f>E184+E185+E186+E187</f>
        <v>0</v>
      </c>
      <c r="F183" s="18">
        <f t="shared" si="24"/>
        <v>0</v>
      </c>
      <c r="G183" s="450" t="s">
        <v>48</v>
      </c>
      <c r="H183" s="450" t="s">
        <v>49</v>
      </c>
      <c r="I183" s="449" t="s">
        <v>50</v>
      </c>
      <c r="J183" s="451"/>
      <c r="K183" s="451"/>
      <c r="L183" s="20"/>
      <c r="M183" s="20"/>
      <c r="N183" s="20"/>
      <c r="O183" s="20"/>
      <c r="P183" s="20"/>
      <c r="Q183" s="21"/>
      <c r="R183" s="21"/>
      <c r="S183" s="21"/>
      <c r="T183" s="21"/>
    </row>
    <row r="184" spans="1:20" ht="12" customHeight="1" x14ac:dyDescent="0.25">
      <c r="A184" s="449"/>
      <c r="B184" s="450"/>
      <c r="C184" s="13" t="s">
        <v>30</v>
      </c>
      <c r="D184" s="15">
        <f>[1]табл.8!H187</f>
        <v>54094530.020000003</v>
      </c>
      <c r="E184" s="15"/>
      <c r="F184" s="15">
        <f t="shared" si="24"/>
        <v>0</v>
      </c>
      <c r="G184" s="450"/>
      <c r="H184" s="450"/>
      <c r="I184" s="449"/>
      <c r="J184" s="451"/>
      <c r="K184" s="451"/>
    </row>
    <row r="185" spans="1:20" ht="12" customHeight="1" x14ac:dyDescent="0.25">
      <c r="A185" s="449"/>
      <c r="B185" s="450"/>
      <c r="C185" s="13" t="s">
        <v>32</v>
      </c>
      <c r="D185" s="15">
        <f>[1]табл.8!F187</f>
        <v>2332592.79</v>
      </c>
      <c r="E185" s="15"/>
      <c r="F185" s="15">
        <f t="shared" si="24"/>
        <v>0</v>
      </c>
      <c r="G185" s="450"/>
      <c r="H185" s="450"/>
      <c r="I185" s="449"/>
      <c r="J185" s="451"/>
      <c r="K185" s="451"/>
    </row>
    <row r="186" spans="1:20" ht="12" customHeight="1" x14ac:dyDescent="0.25">
      <c r="A186" s="449"/>
      <c r="B186" s="450"/>
      <c r="C186" s="13" t="s">
        <v>34</v>
      </c>
      <c r="D186" s="15">
        <f>[1]табл.8!G187</f>
        <v>0</v>
      </c>
      <c r="E186" s="15">
        <v>0</v>
      </c>
      <c r="F186" s="15">
        <v>0</v>
      </c>
      <c r="G186" s="450"/>
      <c r="H186" s="450"/>
      <c r="I186" s="449"/>
      <c r="J186" s="451"/>
      <c r="K186" s="451"/>
    </row>
    <row r="187" spans="1:20" ht="12" customHeight="1" x14ac:dyDescent="0.25">
      <c r="A187" s="449"/>
      <c r="B187" s="450"/>
      <c r="C187" s="13" t="s">
        <v>36</v>
      </c>
      <c r="D187" s="15">
        <f>[1]табл.8!I187</f>
        <v>0</v>
      </c>
      <c r="E187" s="15">
        <v>0</v>
      </c>
      <c r="F187" s="15">
        <v>0</v>
      </c>
      <c r="G187" s="450"/>
      <c r="H187" s="450"/>
      <c r="I187" s="449"/>
      <c r="J187" s="451"/>
      <c r="K187" s="451"/>
    </row>
    <row r="188" spans="1:20" s="22" customFormat="1" ht="12" customHeight="1" x14ac:dyDescent="0.25">
      <c r="A188" s="449" t="s">
        <v>102</v>
      </c>
      <c r="B188" s="450" t="s">
        <v>103</v>
      </c>
      <c r="C188" s="17" t="s">
        <v>28</v>
      </c>
      <c r="D188" s="18">
        <f>D189+D190+D191+D192</f>
        <v>2676047.5599999996</v>
      </c>
      <c r="E188" s="18">
        <f>E189+E190+E191+E192</f>
        <v>0</v>
      </c>
      <c r="F188" s="18">
        <f t="shared" si="24"/>
        <v>0</v>
      </c>
      <c r="G188" s="457"/>
      <c r="H188" s="19" t="s">
        <v>39</v>
      </c>
      <c r="I188" s="17"/>
      <c r="J188" s="451"/>
      <c r="K188" s="451"/>
      <c r="L188" s="20"/>
      <c r="M188" s="20"/>
      <c r="N188" s="20"/>
      <c r="O188" s="20"/>
      <c r="P188" s="20"/>
      <c r="Q188" s="21"/>
      <c r="R188" s="21"/>
      <c r="S188" s="21"/>
      <c r="T188" s="21"/>
    </row>
    <row r="189" spans="1:20" ht="12" customHeight="1" x14ac:dyDescent="0.25">
      <c r="A189" s="449"/>
      <c r="B189" s="450"/>
      <c r="C189" s="13" t="s">
        <v>30</v>
      </c>
      <c r="D189" s="15">
        <f>[1]табл.8!H193</f>
        <v>1145333.8999999999</v>
      </c>
      <c r="E189" s="15"/>
      <c r="F189" s="15">
        <f t="shared" si="24"/>
        <v>0</v>
      </c>
      <c r="G189" s="457"/>
      <c r="H189" s="16" t="s">
        <v>31</v>
      </c>
      <c r="I189" s="13"/>
      <c r="J189" s="451"/>
      <c r="K189" s="451"/>
    </row>
    <row r="190" spans="1:20" ht="12" customHeight="1" x14ac:dyDescent="0.25">
      <c r="A190" s="449"/>
      <c r="B190" s="450"/>
      <c r="C190" s="13" t="s">
        <v>32</v>
      </c>
      <c r="D190" s="15">
        <f>[1]табл.8!F193</f>
        <v>1530713.66</v>
      </c>
      <c r="E190" s="15"/>
      <c r="F190" s="15">
        <v>0</v>
      </c>
      <c r="G190" s="457"/>
      <c r="H190" s="16" t="s">
        <v>33</v>
      </c>
      <c r="I190" s="13"/>
      <c r="J190" s="451"/>
      <c r="K190" s="451"/>
    </row>
    <row r="191" spans="1:20" ht="12" customHeight="1" x14ac:dyDescent="0.25">
      <c r="A191" s="449"/>
      <c r="B191" s="450"/>
      <c r="C191" s="13" t="s">
        <v>34</v>
      </c>
      <c r="D191" s="15">
        <f>[1]табл.8!G193</f>
        <v>0</v>
      </c>
      <c r="E191" s="15">
        <v>0</v>
      </c>
      <c r="F191" s="15">
        <v>0</v>
      </c>
      <c r="G191" s="457"/>
      <c r="H191" s="16" t="s">
        <v>35</v>
      </c>
      <c r="I191" s="13"/>
      <c r="J191" s="451"/>
      <c r="K191" s="451"/>
    </row>
    <row r="192" spans="1:20" ht="12" customHeight="1" x14ac:dyDescent="0.25">
      <c r="A192" s="449"/>
      <c r="B192" s="450"/>
      <c r="C192" s="13" t="s">
        <v>36</v>
      </c>
      <c r="D192" s="15">
        <f>[1]табл.8!I193</f>
        <v>0</v>
      </c>
      <c r="E192" s="15">
        <v>0</v>
      </c>
      <c r="F192" s="15">
        <v>0</v>
      </c>
      <c r="G192" s="457"/>
      <c r="H192" s="16" t="s">
        <v>37</v>
      </c>
      <c r="I192" s="13"/>
      <c r="J192" s="451"/>
      <c r="K192" s="451"/>
    </row>
    <row r="193" spans="1:20" s="22" customFormat="1" ht="12" customHeight="1" x14ac:dyDescent="0.25">
      <c r="A193" s="449" t="s">
        <v>104</v>
      </c>
      <c r="B193" s="450" t="s">
        <v>105</v>
      </c>
      <c r="C193" s="17" t="s">
        <v>28</v>
      </c>
      <c r="D193" s="18">
        <f>D194+D195+D196+D197</f>
        <v>0</v>
      </c>
      <c r="E193" s="18">
        <v>0</v>
      </c>
      <c r="F193" s="18">
        <v>0</v>
      </c>
      <c r="G193" s="450" t="s">
        <v>48</v>
      </c>
      <c r="H193" s="450" t="s">
        <v>49</v>
      </c>
      <c r="I193" s="449" t="s">
        <v>50</v>
      </c>
      <c r="J193" s="451"/>
      <c r="K193" s="451"/>
      <c r="L193" s="20"/>
      <c r="M193" s="20"/>
      <c r="N193" s="20"/>
      <c r="O193" s="20"/>
      <c r="P193" s="20"/>
      <c r="Q193" s="21"/>
      <c r="R193" s="21"/>
      <c r="S193" s="21"/>
      <c r="T193" s="21"/>
    </row>
    <row r="194" spans="1:20" ht="12" customHeight="1" x14ac:dyDescent="0.25">
      <c r="A194" s="449"/>
      <c r="B194" s="450"/>
      <c r="C194" s="13" t="s">
        <v>30</v>
      </c>
      <c r="D194" s="15">
        <f>[1]табл.8!H199</f>
        <v>0</v>
      </c>
      <c r="E194" s="15">
        <v>0</v>
      </c>
      <c r="F194" s="15">
        <v>0</v>
      </c>
      <c r="G194" s="450"/>
      <c r="H194" s="450"/>
      <c r="I194" s="449"/>
      <c r="J194" s="451"/>
      <c r="K194" s="451"/>
    </row>
    <row r="195" spans="1:20" ht="12" customHeight="1" x14ac:dyDescent="0.25">
      <c r="A195" s="449"/>
      <c r="B195" s="450"/>
      <c r="C195" s="13" t="s">
        <v>32</v>
      </c>
      <c r="D195" s="15">
        <f>[1]табл.8!F199</f>
        <v>0</v>
      </c>
      <c r="E195" s="15">
        <v>0</v>
      </c>
      <c r="F195" s="15">
        <v>0</v>
      </c>
      <c r="G195" s="450"/>
      <c r="H195" s="450"/>
      <c r="I195" s="449"/>
      <c r="J195" s="451"/>
      <c r="K195" s="451"/>
    </row>
    <row r="196" spans="1:20" ht="12" customHeight="1" x14ac:dyDescent="0.25">
      <c r="A196" s="449"/>
      <c r="B196" s="450"/>
      <c r="C196" s="13" t="s">
        <v>34</v>
      </c>
      <c r="D196" s="15">
        <f>[1]табл.8!G199</f>
        <v>0</v>
      </c>
      <c r="E196" s="15">
        <v>0</v>
      </c>
      <c r="F196" s="15">
        <v>0</v>
      </c>
      <c r="G196" s="450"/>
      <c r="H196" s="450"/>
      <c r="I196" s="449"/>
      <c r="J196" s="451"/>
      <c r="K196" s="451"/>
    </row>
    <row r="197" spans="1:20" ht="12" customHeight="1" x14ac:dyDescent="0.25">
      <c r="A197" s="449"/>
      <c r="B197" s="450"/>
      <c r="C197" s="13" t="s">
        <v>36</v>
      </c>
      <c r="D197" s="15">
        <f>[1]табл.8!I199</f>
        <v>0</v>
      </c>
      <c r="E197" s="15">
        <v>0</v>
      </c>
      <c r="F197" s="15">
        <v>0</v>
      </c>
      <c r="G197" s="450"/>
      <c r="H197" s="450"/>
      <c r="I197" s="449"/>
      <c r="J197" s="451"/>
      <c r="K197" s="451"/>
    </row>
    <row r="198" spans="1:20" s="22" customFormat="1" ht="12" customHeight="1" x14ac:dyDescent="0.25">
      <c r="A198" s="449" t="s">
        <v>106</v>
      </c>
      <c r="B198" s="450" t="s">
        <v>107</v>
      </c>
      <c r="C198" s="17" t="s">
        <v>28</v>
      </c>
      <c r="D198" s="18">
        <f>D199+D200+D201+D202</f>
        <v>0</v>
      </c>
      <c r="E198" s="18">
        <v>0</v>
      </c>
      <c r="F198" s="18">
        <v>0</v>
      </c>
      <c r="G198" s="457"/>
      <c r="H198" s="19" t="s">
        <v>39</v>
      </c>
      <c r="I198" s="17"/>
      <c r="J198" s="451"/>
      <c r="K198" s="451"/>
      <c r="L198" s="20"/>
      <c r="M198" s="20"/>
      <c r="N198" s="20"/>
      <c r="O198" s="20"/>
      <c r="P198" s="20"/>
      <c r="Q198" s="21"/>
      <c r="R198" s="21"/>
      <c r="S198" s="21"/>
      <c r="T198" s="21"/>
    </row>
    <row r="199" spans="1:20" ht="12" customHeight="1" x14ac:dyDescent="0.25">
      <c r="A199" s="449"/>
      <c r="B199" s="450"/>
      <c r="C199" s="13" t="s">
        <v>30</v>
      </c>
      <c r="D199" s="15">
        <f>[1]табл.8!H205</f>
        <v>0</v>
      </c>
      <c r="E199" s="15">
        <v>0</v>
      </c>
      <c r="F199" s="15">
        <v>0</v>
      </c>
      <c r="G199" s="457"/>
      <c r="H199" s="16" t="s">
        <v>31</v>
      </c>
      <c r="I199" s="13"/>
      <c r="J199" s="451"/>
      <c r="K199" s="451"/>
    </row>
    <row r="200" spans="1:20" ht="12" customHeight="1" x14ac:dyDescent="0.25">
      <c r="A200" s="449"/>
      <c r="B200" s="450"/>
      <c r="C200" s="13" t="s">
        <v>32</v>
      </c>
      <c r="D200" s="15">
        <f>[1]табл.8!F205</f>
        <v>0</v>
      </c>
      <c r="E200" s="15">
        <v>0</v>
      </c>
      <c r="F200" s="15">
        <v>0</v>
      </c>
      <c r="G200" s="457"/>
      <c r="H200" s="16" t="s">
        <v>33</v>
      </c>
      <c r="I200" s="13"/>
      <c r="J200" s="451"/>
      <c r="K200" s="451"/>
    </row>
    <row r="201" spans="1:20" ht="12" customHeight="1" x14ac:dyDescent="0.25">
      <c r="A201" s="449"/>
      <c r="B201" s="450"/>
      <c r="C201" s="13" t="s">
        <v>34</v>
      </c>
      <c r="D201" s="15">
        <f>[1]табл.8!G205</f>
        <v>0</v>
      </c>
      <c r="E201" s="15">
        <v>0</v>
      </c>
      <c r="F201" s="15">
        <v>0</v>
      </c>
      <c r="G201" s="457"/>
      <c r="H201" s="16" t="s">
        <v>35</v>
      </c>
      <c r="I201" s="13"/>
      <c r="J201" s="451"/>
      <c r="K201" s="451"/>
    </row>
    <row r="202" spans="1:20" ht="12" customHeight="1" x14ac:dyDescent="0.25">
      <c r="A202" s="449"/>
      <c r="B202" s="450"/>
      <c r="C202" s="13" t="s">
        <v>36</v>
      </c>
      <c r="D202" s="15">
        <f>[1]табл.8!I204</f>
        <v>0</v>
      </c>
      <c r="E202" s="15">
        <v>0</v>
      </c>
      <c r="F202" s="15">
        <v>0</v>
      </c>
      <c r="G202" s="457"/>
      <c r="H202" s="16" t="s">
        <v>37</v>
      </c>
      <c r="I202" s="13"/>
      <c r="J202" s="451"/>
      <c r="K202" s="451"/>
    </row>
    <row r="203" spans="1:20" s="70" customFormat="1" ht="12" customHeight="1" x14ac:dyDescent="0.25">
      <c r="A203" s="476" t="s">
        <v>108</v>
      </c>
      <c r="B203" s="477" t="s">
        <v>109</v>
      </c>
      <c r="C203" s="65" t="s">
        <v>28</v>
      </c>
      <c r="D203" s="66">
        <f>D204+D205+D206+D207</f>
        <v>5000000</v>
      </c>
      <c r="E203" s="66">
        <f>E204+E205+E206+E207</f>
        <v>1780915.44</v>
      </c>
      <c r="F203" s="66">
        <f>E203/D203</f>
        <v>0.35618308799999998</v>
      </c>
      <c r="G203" s="478"/>
      <c r="H203" s="67" t="s">
        <v>39</v>
      </c>
      <c r="I203" s="65"/>
      <c r="J203" s="479"/>
      <c r="K203" s="479"/>
      <c r="L203" s="68"/>
      <c r="M203" s="68"/>
      <c r="N203" s="68"/>
      <c r="O203" s="68"/>
      <c r="P203" s="68"/>
      <c r="Q203" s="69"/>
      <c r="R203" s="69"/>
      <c r="S203" s="69"/>
      <c r="T203" s="69"/>
    </row>
    <row r="204" spans="1:20" s="76" customFormat="1" ht="12" customHeight="1" x14ac:dyDescent="0.25">
      <c r="A204" s="476"/>
      <c r="B204" s="477"/>
      <c r="C204" s="71" t="s">
        <v>30</v>
      </c>
      <c r="D204" s="72">
        <f>D209+D214+D219+D224</f>
        <v>5000000</v>
      </c>
      <c r="E204" s="72">
        <f>E209+E214+E219+E224</f>
        <v>1780915.44</v>
      </c>
      <c r="F204" s="72">
        <f t="shared" ref="F204:F224" si="26">E204/D204</f>
        <v>0.35618308799999998</v>
      </c>
      <c r="G204" s="478"/>
      <c r="H204" s="73" t="s">
        <v>31</v>
      </c>
      <c r="I204" s="71"/>
      <c r="J204" s="479"/>
      <c r="K204" s="479"/>
      <c r="L204" s="74"/>
      <c r="M204" s="74"/>
      <c r="N204" s="74"/>
      <c r="O204" s="74"/>
      <c r="P204" s="74"/>
      <c r="Q204" s="75"/>
      <c r="R204" s="75"/>
      <c r="S204" s="75"/>
      <c r="T204" s="75"/>
    </row>
    <row r="205" spans="1:20" s="76" customFormat="1" ht="12" customHeight="1" x14ac:dyDescent="0.25">
      <c r="A205" s="476"/>
      <c r="B205" s="477"/>
      <c r="C205" s="71" t="s">
        <v>32</v>
      </c>
      <c r="D205" s="72">
        <f t="shared" ref="D205:E207" si="27">D210+D215+D220+D225</f>
        <v>0</v>
      </c>
      <c r="E205" s="72">
        <f t="shared" si="27"/>
        <v>0</v>
      </c>
      <c r="F205" s="72">
        <v>0</v>
      </c>
      <c r="G205" s="478"/>
      <c r="H205" s="73" t="s">
        <v>33</v>
      </c>
      <c r="I205" s="71"/>
      <c r="J205" s="479"/>
      <c r="K205" s="479"/>
      <c r="L205" s="74"/>
      <c r="M205" s="74"/>
      <c r="N205" s="74"/>
      <c r="O205" s="74"/>
      <c r="P205" s="74"/>
      <c r="Q205" s="75"/>
      <c r="R205" s="75"/>
      <c r="S205" s="75"/>
      <c r="T205" s="75"/>
    </row>
    <row r="206" spans="1:20" s="76" customFormat="1" ht="12" customHeight="1" x14ac:dyDescent="0.25">
      <c r="A206" s="476"/>
      <c r="B206" s="477"/>
      <c r="C206" s="71" t="s">
        <v>34</v>
      </c>
      <c r="D206" s="72">
        <f t="shared" si="27"/>
        <v>0</v>
      </c>
      <c r="E206" s="72">
        <f t="shared" si="27"/>
        <v>0</v>
      </c>
      <c r="F206" s="72">
        <v>0</v>
      </c>
      <c r="G206" s="478"/>
      <c r="H206" s="73" t="s">
        <v>35</v>
      </c>
      <c r="I206" s="71"/>
      <c r="J206" s="479"/>
      <c r="K206" s="479"/>
      <c r="L206" s="74"/>
      <c r="M206" s="74"/>
      <c r="N206" s="74"/>
      <c r="O206" s="74"/>
      <c r="P206" s="74"/>
      <c r="Q206" s="75"/>
      <c r="R206" s="75"/>
      <c r="S206" s="75"/>
      <c r="T206" s="75"/>
    </row>
    <row r="207" spans="1:20" s="76" customFormat="1" ht="12" customHeight="1" x14ac:dyDescent="0.25">
      <c r="A207" s="476"/>
      <c r="B207" s="477"/>
      <c r="C207" s="71" t="s">
        <v>36</v>
      </c>
      <c r="D207" s="72">
        <f t="shared" si="27"/>
        <v>0</v>
      </c>
      <c r="E207" s="72">
        <f t="shared" si="27"/>
        <v>0</v>
      </c>
      <c r="F207" s="72">
        <v>0</v>
      </c>
      <c r="G207" s="478"/>
      <c r="H207" s="73" t="s">
        <v>37</v>
      </c>
      <c r="I207" s="71"/>
      <c r="J207" s="479"/>
      <c r="K207" s="479"/>
      <c r="L207" s="74"/>
      <c r="M207" s="74"/>
      <c r="N207" s="74"/>
      <c r="O207" s="74"/>
      <c r="P207" s="74"/>
      <c r="Q207" s="75"/>
      <c r="R207" s="75"/>
      <c r="S207" s="75"/>
      <c r="T207" s="75"/>
    </row>
    <row r="208" spans="1:20" s="70" customFormat="1" ht="12" customHeight="1" x14ac:dyDescent="0.25">
      <c r="A208" s="440" t="s">
        <v>110</v>
      </c>
      <c r="B208" s="441" t="s">
        <v>111</v>
      </c>
      <c r="C208" s="77" t="s">
        <v>28</v>
      </c>
      <c r="D208" s="78">
        <f>D209+D210+D211+D212</f>
        <v>0</v>
      </c>
      <c r="E208" s="78">
        <f>E209+E210+E211+E212</f>
        <v>0</v>
      </c>
      <c r="F208" s="78">
        <v>0</v>
      </c>
      <c r="G208" s="441" t="s">
        <v>48</v>
      </c>
      <c r="H208" s="441" t="s">
        <v>49</v>
      </c>
      <c r="I208" s="440" t="s">
        <v>50</v>
      </c>
      <c r="J208" s="434"/>
      <c r="K208" s="434"/>
      <c r="L208" s="68"/>
      <c r="M208" s="68"/>
      <c r="N208" s="68"/>
      <c r="O208" s="68"/>
      <c r="P208" s="68"/>
      <c r="Q208" s="69"/>
      <c r="R208" s="69"/>
      <c r="S208" s="69"/>
      <c r="T208" s="69"/>
    </row>
    <row r="209" spans="1:20" s="76" customFormat="1" ht="12" customHeight="1" x14ac:dyDescent="0.25">
      <c r="A209" s="440"/>
      <c r="B209" s="441"/>
      <c r="C209" s="79" t="s">
        <v>30</v>
      </c>
      <c r="D209" s="80">
        <f>[1]табл.8!H217</f>
        <v>0</v>
      </c>
      <c r="E209" s="80">
        <v>0</v>
      </c>
      <c r="F209" s="80">
        <v>0</v>
      </c>
      <c r="G209" s="441"/>
      <c r="H209" s="441"/>
      <c r="I209" s="440"/>
      <c r="J209" s="434"/>
      <c r="K209" s="434"/>
      <c r="L209" s="74"/>
      <c r="M209" s="74"/>
      <c r="N209" s="74"/>
      <c r="O209" s="74"/>
      <c r="P209" s="74"/>
      <c r="Q209" s="75"/>
      <c r="R209" s="75"/>
      <c r="S209" s="75"/>
      <c r="T209" s="75"/>
    </row>
    <row r="210" spans="1:20" s="76" customFormat="1" ht="12" customHeight="1" x14ac:dyDescent="0.25">
      <c r="A210" s="440"/>
      <c r="B210" s="441"/>
      <c r="C210" s="79" t="s">
        <v>32</v>
      </c>
      <c r="D210" s="80">
        <f>[1]табл.8!F217</f>
        <v>0</v>
      </c>
      <c r="E210" s="80">
        <v>0</v>
      </c>
      <c r="F210" s="80">
        <v>0</v>
      </c>
      <c r="G210" s="441"/>
      <c r="H210" s="441"/>
      <c r="I210" s="440"/>
      <c r="J210" s="434"/>
      <c r="K210" s="434"/>
      <c r="L210" s="74"/>
      <c r="M210" s="74"/>
      <c r="N210" s="74"/>
      <c r="O210" s="74"/>
      <c r="P210" s="74"/>
      <c r="Q210" s="75"/>
      <c r="R210" s="75"/>
      <c r="S210" s="75"/>
      <c r="T210" s="75"/>
    </row>
    <row r="211" spans="1:20" s="76" customFormat="1" ht="12" customHeight="1" x14ac:dyDescent="0.25">
      <c r="A211" s="440"/>
      <c r="B211" s="441"/>
      <c r="C211" s="79" t="s">
        <v>34</v>
      </c>
      <c r="D211" s="80">
        <f>[1]табл.8!G217</f>
        <v>0</v>
      </c>
      <c r="E211" s="80">
        <v>0</v>
      </c>
      <c r="F211" s="80">
        <v>0</v>
      </c>
      <c r="G211" s="441"/>
      <c r="H211" s="441"/>
      <c r="I211" s="440"/>
      <c r="J211" s="434"/>
      <c r="K211" s="434"/>
      <c r="L211" s="74"/>
      <c r="M211" s="74"/>
      <c r="N211" s="74"/>
      <c r="O211" s="74"/>
      <c r="P211" s="74"/>
      <c r="Q211" s="75"/>
      <c r="R211" s="75"/>
      <c r="S211" s="75"/>
      <c r="T211" s="75"/>
    </row>
    <row r="212" spans="1:20" s="76" customFormat="1" ht="12" customHeight="1" x14ac:dyDescent="0.25">
      <c r="A212" s="440"/>
      <c r="B212" s="441"/>
      <c r="C212" s="79" t="s">
        <v>36</v>
      </c>
      <c r="D212" s="80">
        <f>[1]табл.8!I217</f>
        <v>0</v>
      </c>
      <c r="E212" s="80">
        <v>0</v>
      </c>
      <c r="F212" s="80">
        <v>0</v>
      </c>
      <c r="G212" s="441"/>
      <c r="H212" s="441"/>
      <c r="I212" s="440"/>
      <c r="J212" s="434"/>
      <c r="K212" s="434"/>
      <c r="L212" s="74"/>
      <c r="M212" s="74"/>
      <c r="N212" s="74"/>
      <c r="O212" s="74"/>
      <c r="P212" s="74"/>
      <c r="Q212" s="75"/>
      <c r="R212" s="75"/>
      <c r="S212" s="75"/>
      <c r="T212" s="75"/>
    </row>
    <row r="213" spans="1:20" s="70" customFormat="1" ht="12.75" customHeight="1" x14ac:dyDescent="0.25">
      <c r="A213" s="440" t="s">
        <v>112</v>
      </c>
      <c r="B213" s="441" t="s">
        <v>113</v>
      </c>
      <c r="C213" s="77" t="s">
        <v>28</v>
      </c>
      <c r="D213" s="78">
        <f>D214+D215+D216+D217</f>
        <v>0</v>
      </c>
      <c r="E213" s="78">
        <f>E214+E215+E216+E217</f>
        <v>0</v>
      </c>
      <c r="F213" s="78">
        <v>0</v>
      </c>
      <c r="G213" s="441" t="s">
        <v>48</v>
      </c>
      <c r="H213" s="441" t="s">
        <v>49</v>
      </c>
      <c r="I213" s="440" t="s">
        <v>50</v>
      </c>
      <c r="J213" s="434"/>
      <c r="K213" s="434"/>
      <c r="L213" s="68"/>
      <c r="M213" s="68"/>
      <c r="N213" s="68"/>
      <c r="O213" s="68"/>
      <c r="P213" s="68"/>
      <c r="Q213" s="69"/>
      <c r="R213" s="69"/>
      <c r="S213" s="69"/>
      <c r="T213" s="69"/>
    </row>
    <row r="214" spans="1:20" s="76" customFormat="1" ht="12" customHeight="1" x14ac:dyDescent="0.25">
      <c r="A214" s="440"/>
      <c r="B214" s="441"/>
      <c r="C214" s="79" t="s">
        <v>30</v>
      </c>
      <c r="D214" s="80">
        <f>[1]табл.8!H223</f>
        <v>0</v>
      </c>
      <c r="E214" s="80">
        <v>0</v>
      </c>
      <c r="F214" s="80">
        <v>0</v>
      </c>
      <c r="G214" s="441"/>
      <c r="H214" s="441"/>
      <c r="I214" s="440"/>
      <c r="J214" s="434"/>
      <c r="K214" s="434"/>
      <c r="L214" s="74"/>
      <c r="M214" s="74"/>
      <c r="N214" s="74"/>
      <c r="O214" s="74"/>
      <c r="P214" s="74"/>
      <c r="Q214" s="75"/>
      <c r="R214" s="75"/>
      <c r="S214" s="75"/>
      <c r="T214" s="75"/>
    </row>
    <row r="215" spans="1:20" s="76" customFormat="1" ht="12" customHeight="1" x14ac:dyDescent="0.25">
      <c r="A215" s="440"/>
      <c r="B215" s="441"/>
      <c r="C215" s="79" t="s">
        <v>32</v>
      </c>
      <c r="D215" s="80">
        <f>[1]табл.8!F223</f>
        <v>0</v>
      </c>
      <c r="E215" s="80">
        <v>0</v>
      </c>
      <c r="F215" s="80">
        <v>0</v>
      </c>
      <c r="G215" s="441"/>
      <c r="H215" s="441"/>
      <c r="I215" s="440"/>
      <c r="J215" s="434"/>
      <c r="K215" s="434"/>
      <c r="L215" s="74"/>
      <c r="M215" s="74"/>
      <c r="N215" s="74"/>
      <c r="O215" s="74"/>
      <c r="P215" s="74"/>
      <c r="Q215" s="75"/>
      <c r="R215" s="75"/>
      <c r="S215" s="75"/>
      <c r="T215" s="75"/>
    </row>
    <row r="216" spans="1:20" s="76" customFormat="1" ht="12" customHeight="1" x14ac:dyDescent="0.25">
      <c r="A216" s="440"/>
      <c r="B216" s="441"/>
      <c r="C216" s="79" t="s">
        <v>34</v>
      </c>
      <c r="D216" s="80">
        <f>[1]табл.8!G223</f>
        <v>0</v>
      </c>
      <c r="E216" s="80">
        <v>0</v>
      </c>
      <c r="F216" s="80">
        <v>0</v>
      </c>
      <c r="G216" s="441"/>
      <c r="H216" s="441"/>
      <c r="I216" s="440"/>
      <c r="J216" s="434"/>
      <c r="K216" s="434"/>
      <c r="L216" s="74"/>
      <c r="M216" s="74"/>
      <c r="N216" s="74"/>
      <c r="O216" s="74"/>
      <c r="P216" s="74"/>
      <c r="Q216" s="75"/>
      <c r="R216" s="75"/>
      <c r="S216" s="75"/>
      <c r="T216" s="75"/>
    </row>
    <row r="217" spans="1:20" s="76" customFormat="1" ht="12" customHeight="1" x14ac:dyDescent="0.25">
      <c r="A217" s="440"/>
      <c r="B217" s="441"/>
      <c r="C217" s="79" t="s">
        <v>36</v>
      </c>
      <c r="D217" s="80">
        <f>[1]табл.8!I223</f>
        <v>0</v>
      </c>
      <c r="E217" s="80">
        <v>0</v>
      </c>
      <c r="F217" s="80">
        <v>0</v>
      </c>
      <c r="G217" s="441"/>
      <c r="H217" s="441"/>
      <c r="I217" s="440"/>
      <c r="J217" s="434"/>
      <c r="K217" s="434"/>
      <c r="L217" s="74"/>
      <c r="M217" s="74"/>
      <c r="N217" s="74"/>
      <c r="O217" s="74"/>
      <c r="P217" s="74"/>
      <c r="Q217" s="75"/>
      <c r="R217" s="75"/>
      <c r="S217" s="75"/>
      <c r="T217" s="75"/>
    </row>
    <row r="218" spans="1:20" s="70" customFormat="1" ht="12" customHeight="1" x14ac:dyDescent="0.25">
      <c r="A218" s="440" t="s">
        <v>114</v>
      </c>
      <c r="B218" s="441" t="s">
        <v>115</v>
      </c>
      <c r="C218" s="77" t="s">
        <v>28</v>
      </c>
      <c r="D218" s="78">
        <f>D219+D220+D221+D222</f>
        <v>0</v>
      </c>
      <c r="E218" s="78">
        <f>E219+E220+E221+E222</f>
        <v>0</v>
      </c>
      <c r="F218" s="78">
        <v>0</v>
      </c>
      <c r="G218" s="442"/>
      <c r="H218" s="81" t="s">
        <v>39</v>
      </c>
      <c r="I218" s="77"/>
      <c r="J218" s="434"/>
      <c r="K218" s="434"/>
      <c r="L218" s="68"/>
      <c r="M218" s="68"/>
      <c r="N218" s="68"/>
      <c r="O218" s="68"/>
      <c r="P218" s="68"/>
      <c r="Q218" s="69"/>
      <c r="R218" s="69"/>
      <c r="S218" s="69"/>
      <c r="T218" s="69"/>
    </row>
    <row r="219" spans="1:20" s="76" customFormat="1" ht="12" customHeight="1" x14ac:dyDescent="0.25">
      <c r="A219" s="440"/>
      <c r="B219" s="441"/>
      <c r="C219" s="79" t="s">
        <v>30</v>
      </c>
      <c r="D219" s="80">
        <f>[1]табл.8!H229</f>
        <v>0</v>
      </c>
      <c r="E219" s="80">
        <v>0</v>
      </c>
      <c r="F219" s="80">
        <v>0</v>
      </c>
      <c r="G219" s="442"/>
      <c r="H219" s="82" t="s">
        <v>31</v>
      </c>
      <c r="I219" s="79"/>
      <c r="J219" s="434"/>
      <c r="K219" s="434"/>
      <c r="L219" s="74"/>
      <c r="M219" s="74"/>
      <c r="N219" s="74"/>
      <c r="O219" s="74"/>
      <c r="P219" s="74"/>
      <c r="Q219" s="75"/>
      <c r="R219" s="75"/>
      <c r="S219" s="75"/>
      <c r="T219" s="75"/>
    </row>
    <row r="220" spans="1:20" s="76" customFormat="1" ht="12" customHeight="1" x14ac:dyDescent="0.25">
      <c r="A220" s="440"/>
      <c r="B220" s="441"/>
      <c r="C220" s="79" t="s">
        <v>32</v>
      </c>
      <c r="D220" s="80">
        <f>[1]табл.8!F229</f>
        <v>0</v>
      </c>
      <c r="E220" s="80">
        <v>0</v>
      </c>
      <c r="F220" s="80">
        <v>0</v>
      </c>
      <c r="G220" s="442"/>
      <c r="H220" s="82" t="s">
        <v>33</v>
      </c>
      <c r="I220" s="79"/>
      <c r="J220" s="434"/>
      <c r="K220" s="434"/>
      <c r="L220" s="74"/>
      <c r="M220" s="74"/>
      <c r="N220" s="74"/>
      <c r="O220" s="74"/>
      <c r="P220" s="74"/>
      <c r="Q220" s="75"/>
      <c r="R220" s="75"/>
      <c r="S220" s="75"/>
      <c r="T220" s="75"/>
    </row>
    <row r="221" spans="1:20" s="76" customFormat="1" ht="12" customHeight="1" x14ac:dyDescent="0.25">
      <c r="A221" s="440"/>
      <c r="B221" s="441"/>
      <c r="C221" s="79" t="s">
        <v>34</v>
      </c>
      <c r="D221" s="80">
        <f>[1]табл.8!G229</f>
        <v>0</v>
      </c>
      <c r="E221" s="80">
        <v>0</v>
      </c>
      <c r="F221" s="80">
        <v>0</v>
      </c>
      <c r="G221" s="442"/>
      <c r="H221" s="82" t="s">
        <v>35</v>
      </c>
      <c r="I221" s="79"/>
      <c r="J221" s="434"/>
      <c r="K221" s="434"/>
      <c r="L221" s="74"/>
      <c r="M221" s="74"/>
      <c r="N221" s="74"/>
      <c r="O221" s="74"/>
      <c r="P221" s="74"/>
      <c r="Q221" s="75"/>
      <c r="R221" s="75"/>
      <c r="S221" s="75"/>
      <c r="T221" s="75"/>
    </row>
    <row r="222" spans="1:20" s="76" customFormat="1" ht="12" customHeight="1" x14ac:dyDescent="0.25">
      <c r="A222" s="440"/>
      <c r="B222" s="441"/>
      <c r="C222" s="79" t="s">
        <v>36</v>
      </c>
      <c r="D222" s="80">
        <f>[1]табл.8!I229</f>
        <v>0</v>
      </c>
      <c r="E222" s="80">
        <v>0</v>
      </c>
      <c r="F222" s="80">
        <v>0</v>
      </c>
      <c r="G222" s="442"/>
      <c r="H222" s="82" t="s">
        <v>37</v>
      </c>
      <c r="I222" s="79"/>
      <c r="J222" s="434"/>
      <c r="K222" s="434"/>
      <c r="L222" s="74"/>
      <c r="M222" s="74"/>
      <c r="N222" s="74"/>
      <c r="O222" s="74"/>
      <c r="P222" s="74"/>
      <c r="Q222" s="75"/>
      <c r="R222" s="75"/>
      <c r="S222" s="75"/>
      <c r="T222" s="75"/>
    </row>
    <row r="223" spans="1:20" s="70" customFormat="1" ht="12" customHeight="1" x14ac:dyDescent="0.25">
      <c r="A223" s="440" t="s">
        <v>116</v>
      </c>
      <c r="B223" s="441" t="s">
        <v>117</v>
      </c>
      <c r="C223" s="77" t="s">
        <v>28</v>
      </c>
      <c r="D223" s="78">
        <f>D224+D225+D226+D227</f>
        <v>5000000</v>
      </c>
      <c r="E223" s="78">
        <f>E224+E225+E226+E227</f>
        <v>1780915.44</v>
      </c>
      <c r="F223" s="78">
        <f t="shared" si="26"/>
        <v>0.35618308799999998</v>
      </c>
      <c r="G223" s="441" t="s">
        <v>48</v>
      </c>
      <c r="H223" s="441" t="s">
        <v>49</v>
      </c>
      <c r="I223" s="440" t="s">
        <v>50</v>
      </c>
      <c r="J223" s="434"/>
      <c r="K223" s="434"/>
      <c r="L223" s="68"/>
      <c r="M223" s="68"/>
      <c r="N223" s="68"/>
      <c r="O223" s="68"/>
      <c r="P223" s="68"/>
      <c r="Q223" s="69"/>
      <c r="R223" s="69"/>
      <c r="S223" s="69"/>
      <c r="T223" s="69"/>
    </row>
    <row r="224" spans="1:20" s="76" customFormat="1" ht="12" customHeight="1" x14ac:dyDescent="0.25">
      <c r="A224" s="440"/>
      <c r="B224" s="441"/>
      <c r="C224" s="79" t="s">
        <v>30</v>
      </c>
      <c r="D224" s="80">
        <f>[1]табл.8!H235</f>
        <v>5000000</v>
      </c>
      <c r="E224" s="80">
        <v>1780915.44</v>
      </c>
      <c r="F224" s="80">
        <f t="shared" si="26"/>
        <v>0.35618308799999998</v>
      </c>
      <c r="G224" s="441"/>
      <c r="H224" s="441"/>
      <c r="I224" s="440"/>
      <c r="J224" s="434"/>
      <c r="K224" s="434"/>
      <c r="L224" s="74"/>
      <c r="M224" s="74"/>
      <c r="N224" s="74"/>
      <c r="O224" s="74"/>
      <c r="P224" s="74"/>
      <c r="Q224" s="75"/>
      <c r="R224" s="75"/>
      <c r="S224" s="75"/>
      <c r="T224" s="75"/>
    </row>
    <row r="225" spans="1:20" s="76" customFormat="1" ht="12" customHeight="1" x14ac:dyDescent="0.25">
      <c r="A225" s="440"/>
      <c r="B225" s="441"/>
      <c r="C225" s="79" t="s">
        <v>32</v>
      </c>
      <c r="D225" s="80">
        <f>[1]табл.8!F235</f>
        <v>0</v>
      </c>
      <c r="E225" s="80">
        <v>0</v>
      </c>
      <c r="F225" s="80">
        <v>0</v>
      </c>
      <c r="G225" s="441"/>
      <c r="H225" s="441"/>
      <c r="I225" s="440"/>
      <c r="J225" s="434"/>
      <c r="K225" s="434"/>
      <c r="L225" s="74"/>
      <c r="M225" s="74"/>
      <c r="N225" s="74"/>
      <c r="O225" s="74"/>
      <c r="P225" s="74"/>
      <c r="Q225" s="75"/>
      <c r="R225" s="75"/>
      <c r="S225" s="75"/>
      <c r="T225" s="75"/>
    </row>
    <row r="226" spans="1:20" s="76" customFormat="1" ht="12" customHeight="1" x14ac:dyDescent="0.25">
      <c r="A226" s="440"/>
      <c r="B226" s="441"/>
      <c r="C226" s="79" t="s">
        <v>34</v>
      </c>
      <c r="D226" s="80">
        <f>[1]табл.8!G235</f>
        <v>0</v>
      </c>
      <c r="E226" s="80">
        <v>0</v>
      </c>
      <c r="F226" s="80">
        <v>0</v>
      </c>
      <c r="G226" s="441"/>
      <c r="H226" s="441"/>
      <c r="I226" s="440"/>
      <c r="J226" s="434"/>
      <c r="K226" s="434"/>
      <c r="L226" s="74"/>
      <c r="M226" s="74"/>
      <c r="N226" s="74"/>
      <c r="O226" s="74"/>
      <c r="P226" s="74"/>
      <c r="Q226" s="75"/>
      <c r="R226" s="75"/>
      <c r="S226" s="75"/>
      <c r="T226" s="75"/>
    </row>
    <row r="227" spans="1:20" s="76" customFormat="1" ht="12" customHeight="1" x14ac:dyDescent="0.25">
      <c r="A227" s="440"/>
      <c r="B227" s="441"/>
      <c r="C227" s="79" t="s">
        <v>36</v>
      </c>
      <c r="D227" s="80">
        <f>[1]табл.8!I235</f>
        <v>0</v>
      </c>
      <c r="E227" s="80">
        <v>0</v>
      </c>
      <c r="F227" s="80">
        <v>0</v>
      </c>
      <c r="G227" s="441"/>
      <c r="H227" s="441"/>
      <c r="I227" s="440"/>
      <c r="J227" s="434"/>
      <c r="K227" s="434"/>
      <c r="L227" s="74"/>
      <c r="M227" s="74"/>
      <c r="N227" s="74"/>
      <c r="O227" s="74"/>
      <c r="P227" s="74"/>
      <c r="Q227" s="75"/>
      <c r="R227" s="75"/>
      <c r="S227" s="75"/>
      <c r="T227" s="75"/>
    </row>
    <row r="228" spans="1:20" s="70" customFormat="1" ht="12" customHeight="1" x14ac:dyDescent="0.25">
      <c r="A228" s="476" t="s">
        <v>118</v>
      </c>
      <c r="B228" s="477" t="s">
        <v>119</v>
      </c>
      <c r="C228" s="65" t="s">
        <v>28</v>
      </c>
      <c r="D228" s="66">
        <f>D229+D230+D231+D232</f>
        <v>13696613.380000001</v>
      </c>
      <c r="E228" s="66">
        <f>E229+E230+E231+E232</f>
        <v>0</v>
      </c>
      <c r="F228" s="66">
        <f t="shared" ref="F228:F231" si="28">E228/D228</f>
        <v>0</v>
      </c>
      <c r="G228" s="478"/>
      <c r="H228" s="67" t="s">
        <v>39</v>
      </c>
      <c r="I228" s="65"/>
      <c r="J228" s="479"/>
      <c r="K228" s="479"/>
      <c r="L228" s="68"/>
      <c r="M228" s="68"/>
      <c r="N228" s="68"/>
      <c r="O228" s="68"/>
      <c r="P228" s="68"/>
      <c r="Q228" s="69"/>
      <c r="R228" s="69"/>
      <c r="S228" s="69"/>
      <c r="T228" s="69"/>
    </row>
    <row r="229" spans="1:20" s="76" customFormat="1" ht="12" customHeight="1" x14ac:dyDescent="0.25">
      <c r="A229" s="476"/>
      <c r="B229" s="477"/>
      <c r="C229" s="71" t="s">
        <v>30</v>
      </c>
      <c r="D229" s="72">
        <f>D234+D239+D244</f>
        <v>687203.28</v>
      </c>
      <c r="E229" s="72">
        <f>E234+E239+E244</f>
        <v>0</v>
      </c>
      <c r="F229" s="66">
        <f t="shared" si="28"/>
        <v>0</v>
      </c>
      <c r="G229" s="478"/>
      <c r="H229" s="73" t="s">
        <v>31</v>
      </c>
      <c r="I229" s="71"/>
      <c r="J229" s="479"/>
      <c r="K229" s="479"/>
      <c r="L229" s="74"/>
      <c r="M229" s="74"/>
      <c r="N229" s="74"/>
      <c r="O229" s="74"/>
      <c r="P229" s="74"/>
      <c r="Q229" s="75"/>
      <c r="R229" s="75"/>
      <c r="S229" s="75"/>
      <c r="T229" s="75"/>
    </row>
    <row r="230" spans="1:20" s="76" customFormat="1" ht="12" customHeight="1" x14ac:dyDescent="0.25">
      <c r="A230" s="476"/>
      <c r="B230" s="477"/>
      <c r="C230" s="71" t="s">
        <v>32</v>
      </c>
      <c r="D230" s="72">
        <f t="shared" ref="D230:E232" si="29">D235+D240+D245</f>
        <v>6494984.2400000002</v>
      </c>
      <c r="E230" s="72">
        <f t="shared" si="29"/>
        <v>0</v>
      </c>
      <c r="F230" s="66">
        <f t="shared" si="28"/>
        <v>0</v>
      </c>
      <c r="G230" s="478"/>
      <c r="H230" s="73" t="s">
        <v>33</v>
      </c>
      <c r="I230" s="71"/>
      <c r="J230" s="479"/>
      <c r="K230" s="479"/>
      <c r="L230" s="74"/>
      <c r="M230" s="74"/>
      <c r="N230" s="74"/>
      <c r="O230" s="74"/>
      <c r="P230" s="74"/>
      <c r="Q230" s="75"/>
      <c r="R230" s="75"/>
      <c r="S230" s="75"/>
      <c r="T230" s="75"/>
    </row>
    <row r="231" spans="1:20" s="76" customFormat="1" ht="12" customHeight="1" x14ac:dyDescent="0.25">
      <c r="A231" s="476"/>
      <c r="B231" s="477"/>
      <c r="C231" s="71" t="s">
        <v>34</v>
      </c>
      <c r="D231" s="72">
        <f t="shared" si="29"/>
        <v>6514425.8600000003</v>
      </c>
      <c r="E231" s="72">
        <f t="shared" si="29"/>
        <v>0</v>
      </c>
      <c r="F231" s="66">
        <f t="shared" si="28"/>
        <v>0</v>
      </c>
      <c r="G231" s="478"/>
      <c r="H231" s="73" t="s">
        <v>35</v>
      </c>
      <c r="I231" s="71"/>
      <c r="J231" s="479"/>
      <c r="K231" s="479"/>
      <c r="L231" s="74"/>
      <c r="M231" s="74"/>
      <c r="N231" s="74"/>
      <c r="O231" s="74"/>
      <c r="P231" s="74"/>
      <c r="Q231" s="75"/>
      <c r="R231" s="75"/>
      <c r="S231" s="75"/>
      <c r="T231" s="75"/>
    </row>
    <row r="232" spans="1:20" s="76" customFormat="1" ht="12" customHeight="1" x14ac:dyDescent="0.25">
      <c r="A232" s="476"/>
      <c r="B232" s="477"/>
      <c r="C232" s="71" t="s">
        <v>36</v>
      </c>
      <c r="D232" s="72">
        <f t="shared" si="29"/>
        <v>0</v>
      </c>
      <c r="E232" s="72">
        <f t="shared" si="29"/>
        <v>0</v>
      </c>
      <c r="F232" s="66">
        <v>0</v>
      </c>
      <c r="G232" s="478"/>
      <c r="H232" s="73" t="s">
        <v>37</v>
      </c>
      <c r="I232" s="71"/>
      <c r="J232" s="479"/>
      <c r="K232" s="479"/>
      <c r="L232" s="74"/>
      <c r="M232" s="74"/>
      <c r="N232" s="74"/>
      <c r="O232" s="74"/>
      <c r="P232" s="74"/>
      <c r="Q232" s="75"/>
      <c r="R232" s="75"/>
      <c r="S232" s="75"/>
      <c r="T232" s="75"/>
    </row>
    <row r="233" spans="1:20" s="70" customFormat="1" ht="12" customHeight="1" x14ac:dyDescent="0.25">
      <c r="A233" s="470" t="s">
        <v>120</v>
      </c>
      <c r="B233" s="471" t="s">
        <v>121</v>
      </c>
      <c r="C233" s="83" t="s">
        <v>28</v>
      </c>
      <c r="D233" s="84">
        <f>D234+D235+D236+D237</f>
        <v>6385779</v>
      </c>
      <c r="E233" s="84">
        <f>E234+E235+E236+E237</f>
        <v>0</v>
      </c>
      <c r="F233" s="84">
        <f t="shared" ref="F233:F246" si="30">E233/D233</f>
        <v>0</v>
      </c>
      <c r="G233" s="441" t="s">
        <v>48</v>
      </c>
      <c r="H233" s="441" t="s">
        <v>49</v>
      </c>
      <c r="I233" s="440" t="s">
        <v>50</v>
      </c>
      <c r="J233" s="434"/>
      <c r="K233" s="434"/>
      <c r="L233" s="68"/>
      <c r="M233" s="68"/>
      <c r="N233" s="68"/>
      <c r="O233" s="68"/>
      <c r="P233" s="68"/>
      <c r="Q233" s="69"/>
      <c r="R233" s="69"/>
      <c r="S233" s="69"/>
      <c r="T233" s="69"/>
    </row>
    <row r="234" spans="1:20" s="76" customFormat="1" ht="12" customHeight="1" x14ac:dyDescent="0.25">
      <c r="A234" s="470"/>
      <c r="B234" s="471"/>
      <c r="C234" s="85" t="s">
        <v>30</v>
      </c>
      <c r="D234" s="86">
        <f>[1]табл.8!H247</f>
        <v>138890.70000000001</v>
      </c>
      <c r="E234" s="86"/>
      <c r="F234" s="86">
        <f t="shared" si="30"/>
        <v>0</v>
      </c>
      <c r="G234" s="441"/>
      <c r="H234" s="441"/>
      <c r="I234" s="440"/>
      <c r="J234" s="434"/>
      <c r="K234" s="434"/>
      <c r="L234" s="74"/>
      <c r="M234" s="74"/>
      <c r="N234" s="74"/>
      <c r="O234" s="74"/>
      <c r="P234" s="74"/>
      <c r="Q234" s="75"/>
      <c r="R234" s="75"/>
      <c r="S234" s="75"/>
      <c r="T234" s="75"/>
    </row>
    <row r="235" spans="1:20" s="76" customFormat="1" ht="12" customHeight="1" x14ac:dyDescent="0.25">
      <c r="A235" s="470"/>
      <c r="B235" s="471"/>
      <c r="C235" s="85" t="s">
        <v>32</v>
      </c>
      <c r="D235" s="86">
        <f>[1]табл.8!F247</f>
        <v>4533903.09</v>
      </c>
      <c r="E235" s="86"/>
      <c r="F235" s="86">
        <f t="shared" si="30"/>
        <v>0</v>
      </c>
      <c r="G235" s="441"/>
      <c r="H235" s="441"/>
      <c r="I235" s="440"/>
      <c r="J235" s="434"/>
      <c r="K235" s="434"/>
      <c r="L235" s="74"/>
      <c r="M235" s="74"/>
      <c r="N235" s="74"/>
      <c r="O235" s="74"/>
      <c r="P235" s="74"/>
      <c r="Q235" s="75"/>
      <c r="R235" s="75"/>
      <c r="S235" s="75"/>
      <c r="T235" s="75"/>
    </row>
    <row r="236" spans="1:20" s="76" customFormat="1" ht="12" customHeight="1" x14ac:dyDescent="0.25">
      <c r="A236" s="470"/>
      <c r="B236" s="471"/>
      <c r="C236" s="85" t="s">
        <v>34</v>
      </c>
      <c r="D236" s="86">
        <f>[1]табл.8!G247</f>
        <v>1712985.21</v>
      </c>
      <c r="E236" s="86"/>
      <c r="F236" s="86">
        <f t="shared" si="30"/>
        <v>0</v>
      </c>
      <c r="G236" s="441"/>
      <c r="H236" s="441"/>
      <c r="I236" s="440"/>
      <c r="J236" s="434"/>
      <c r="K236" s="434"/>
      <c r="L236" s="74"/>
      <c r="M236" s="74"/>
      <c r="N236" s="74"/>
      <c r="O236" s="74"/>
      <c r="P236" s="74"/>
      <c r="Q236" s="75"/>
      <c r="R236" s="75"/>
      <c r="S236" s="75"/>
      <c r="T236" s="75"/>
    </row>
    <row r="237" spans="1:20" s="76" customFormat="1" ht="12" customHeight="1" x14ac:dyDescent="0.25">
      <c r="A237" s="470"/>
      <c r="B237" s="471"/>
      <c r="C237" s="85" t="s">
        <v>36</v>
      </c>
      <c r="D237" s="86">
        <f>[1]табл.8!I247</f>
        <v>0</v>
      </c>
      <c r="E237" s="86">
        <v>0</v>
      </c>
      <c r="F237" s="86">
        <v>0</v>
      </c>
      <c r="G237" s="441"/>
      <c r="H237" s="441"/>
      <c r="I237" s="440"/>
      <c r="J237" s="434"/>
      <c r="K237" s="434"/>
      <c r="L237" s="74"/>
      <c r="M237" s="74"/>
      <c r="N237" s="74"/>
      <c r="O237" s="74"/>
      <c r="P237" s="74"/>
      <c r="Q237" s="75"/>
      <c r="R237" s="75"/>
      <c r="S237" s="75"/>
      <c r="T237" s="75"/>
    </row>
    <row r="238" spans="1:20" s="70" customFormat="1" ht="12.75" customHeight="1" x14ac:dyDescent="0.25">
      <c r="A238" s="470" t="s">
        <v>122</v>
      </c>
      <c r="B238" s="471" t="s">
        <v>123</v>
      </c>
      <c r="C238" s="83" t="s">
        <v>28</v>
      </c>
      <c r="D238" s="84">
        <f>D239+D240+D241+D242</f>
        <v>0</v>
      </c>
      <c r="E238" s="84">
        <f>E239+E240+E241+E242</f>
        <v>0</v>
      </c>
      <c r="F238" s="84">
        <v>0</v>
      </c>
      <c r="G238" s="441" t="s">
        <v>48</v>
      </c>
      <c r="H238" s="441" t="s">
        <v>49</v>
      </c>
      <c r="I238" s="440" t="s">
        <v>50</v>
      </c>
      <c r="J238" s="434"/>
      <c r="K238" s="434"/>
      <c r="L238" s="68"/>
      <c r="M238" s="68"/>
      <c r="N238" s="68"/>
      <c r="O238" s="68"/>
      <c r="P238" s="68"/>
      <c r="Q238" s="69"/>
      <c r="R238" s="69"/>
      <c r="S238" s="69"/>
      <c r="T238" s="69"/>
    </row>
    <row r="239" spans="1:20" s="76" customFormat="1" ht="12" customHeight="1" x14ac:dyDescent="0.25">
      <c r="A239" s="470"/>
      <c r="B239" s="471"/>
      <c r="C239" s="85" t="s">
        <v>30</v>
      </c>
      <c r="D239" s="86">
        <f>[1]табл.8!H253</f>
        <v>0</v>
      </c>
      <c r="E239" s="86">
        <v>0</v>
      </c>
      <c r="F239" s="86">
        <v>0</v>
      </c>
      <c r="G239" s="441"/>
      <c r="H239" s="441"/>
      <c r="I239" s="440"/>
      <c r="J239" s="434"/>
      <c r="K239" s="434"/>
      <c r="L239" s="74"/>
      <c r="M239" s="74"/>
      <c r="N239" s="74"/>
      <c r="O239" s="74"/>
      <c r="P239" s="74"/>
      <c r="Q239" s="75"/>
      <c r="R239" s="75"/>
      <c r="S239" s="75"/>
      <c r="T239" s="75"/>
    </row>
    <row r="240" spans="1:20" s="76" customFormat="1" ht="12" customHeight="1" x14ac:dyDescent="0.25">
      <c r="A240" s="470"/>
      <c r="B240" s="471"/>
      <c r="C240" s="85" t="s">
        <v>32</v>
      </c>
      <c r="D240" s="86">
        <f>[1]табл.8!F253</f>
        <v>0</v>
      </c>
      <c r="E240" s="86">
        <v>0</v>
      </c>
      <c r="F240" s="86">
        <v>0</v>
      </c>
      <c r="G240" s="441"/>
      <c r="H240" s="441"/>
      <c r="I240" s="440"/>
      <c r="J240" s="434"/>
      <c r="K240" s="434"/>
      <c r="L240" s="74"/>
      <c r="M240" s="74"/>
      <c r="N240" s="74"/>
      <c r="O240" s="74"/>
      <c r="P240" s="74"/>
      <c r="Q240" s="75"/>
      <c r="R240" s="75"/>
      <c r="S240" s="75"/>
      <c r="T240" s="75"/>
    </row>
    <row r="241" spans="1:20" s="76" customFormat="1" ht="12" customHeight="1" x14ac:dyDescent="0.25">
      <c r="A241" s="470"/>
      <c r="B241" s="471"/>
      <c r="C241" s="85" t="s">
        <v>34</v>
      </c>
      <c r="D241" s="86">
        <f>[1]табл.8!G253</f>
        <v>0</v>
      </c>
      <c r="E241" s="86">
        <v>0</v>
      </c>
      <c r="F241" s="86">
        <v>0</v>
      </c>
      <c r="G241" s="441"/>
      <c r="H241" s="441"/>
      <c r="I241" s="440"/>
      <c r="J241" s="434"/>
      <c r="K241" s="434"/>
      <c r="L241" s="74"/>
      <c r="M241" s="74"/>
      <c r="N241" s="74"/>
      <c r="O241" s="74"/>
      <c r="P241" s="74"/>
      <c r="Q241" s="75"/>
      <c r="R241" s="75"/>
      <c r="S241" s="75"/>
      <c r="T241" s="75"/>
    </row>
    <row r="242" spans="1:20" s="76" customFormat="1" ht="12" customHeight="1" x14ac:dyDescent="0.25">
      <c r="A242" s="470"/>
      <c r="B242" s="471"/>
      <c r="C242" s="85" t="s">
        <v>36</v>
      </c>
      <c r="D242" s="86">
        <f>[1]табл.8!I253</f>
        <v>0</v>
      </c>
      <c r="E242" s="86">
        <v>0</v>
      </c>
      <c r="F242" s="86">
        <v>0</v>
      </c>
      <c r="G242" s="441"/>
      <c r="H242" s="441"/>
      <c r="I242" s="440"/>
      <c r="J242" s="434"/>
      <c r="K242" s="434"/>
      <c r="L242" s="74"/>
      <c r="M242" s="74"/>
      <c r="N242" s="74"/>
      <c r="O242" s="74"/>
      <c r="P242" s="74"/>
      <c r="Q242" s="75"/>
      <c r="R242" s="75"/>
      <c r="S242" s="75"/>
      <c r="T242" s="75"/>
    </row>
    <row r="243" spans="1:20" s="70" customFormat="1" ht="12" customHeight="1" x14ac:dyDescent="0.25">
      <c r="A243" s="470" t="s">
        <v>124</v>
      </c>
      <c r="B243" s="471" t="s">
        <v>125</v>
      </c>
      <c r="C243" s="83" t="s">
        <v>28</v>
      </c>
      <c r="D243" s="84">
        <f>D244+D245+D246+D247</f>
        <v>7310834.3800000008</v>
      </c>
      <c r="E243" s="84">
        <f>E244+E245+E246+E247</f>
        <v>0</v>
      </c>
      <c r="F243" s="84">
        <f t="shared" si="30"/>
        <v>0</v>
      </c>
      <c r="G243" s="442"/>
      <c r="H243" s="81" t="s">
        <v>39</v>
      </c>
      <c r="I243" s="77"/>
      <c r="J243" s="434"/>
      <c r="K243" s="434"/>
      <c r="L243" s="68"/>
      <c r="M243" s="68"/>
      <c r="N243" s="68"/>
      <c r="O243" s="68"/>
      <c r="P243" s="68"/>
      <c r="Q243" s="69"/>
      <c r="R243" s="69"/>
      <c r="S243" s="69"/>
      <c r="T243" s="69"/>
    </row>
    <row r="244" spans="1:20" s="76" customFormat="1" ht="12" customHeight="1" x14ac:dyDescent="0.25">
      <c r="A244" s="470"/>
      <c r="B244" s="471"/>
      <c r="C244" s="85" t="s">
        <v>30</v>
      </c>
      <c r="D244" s="86">
        <f>[1]табл.8!H259</f>
        <v>548312.57999999996</v>
      </c>
      <c r="E244" s="86"/>
      <c r="F244" s="86">
        <f t="shared" si="30"/>
        <v>0</v>
      </c>
      <c r="G244" s="442"/>
      <c r="H244" s="82" t="s">
        <v>31</v>
      </c>
      <c r="I244" s="79"/>
      <c r="J244" s="434"/>
      <c r="K244" s="434"/>
      <c r="L244" s="74"/>
      <c r="M244" s="74"/>
      <c r="N244" s="74"/>
      <c r="O244" s="74"/>
      <c r="P244" s="74"/>
      <c r="Q244" s="75"/>
      <c r="R244" s="75"/>
      <c r="S244" s="75"/>
      <c r="T244" s="75"/>
    </row>
    <row r="245" spans="1:20" s="76" customFormat="1" ht="12" customHeight="1" x14ac:dyDescent="0.25">
      <c r="A245" s="470"/>
      <c r="B245" s="471"/>
      <c r="C245" s="85" t="s">
        <v>32</v>
      </c>
      <c r="D245" s="86">
        <f>[1]табл.8!F259</f>
        <v>1961081.15</v>
      </c>
      <c r="E245" s="86"/>
      <c r="F245" s="86">
        <f t="shared" si="30"/>
        <v>0</v>
      </c>
      <c r="G245" s="442"/>
      <c r="H245" s="82" t="s">
        <v>33</v>
      </c>
      <c r="I245" s="79"/>
      <c r="J245" s="434"/>
      <c r="K245" s="434"/>
      <c r="L245" s="74"/>
      <c r="M245" s="74"/>
      <c r="N245" s="74"/>
      <c r="O245" s="74"/>
      <c r="P245" s="74"/>
      <c r="Q245" s="75"/>
      <c r="R245" s="75"/>
      <c r="S245" s="75"/>
      <c r="T245" s="75"/>
    </row>
    <row r="246" spans="1:20" s="76" customFormat="1" ht="12" customHeight="1" x14ac:dyDescent="0.25">
      <c r="A246" s="470"/>
      <c r="B246" s="471"/>
      <c r="C246" s="85" t="s">
        <v>34</v>
      </c>
      <c r="D246" s="86">
        <f>[1]табл.8!G259</f>
        <v>4801440.6500000004</v>
      </c>
      <c r="E246" s="86"/>
      <c r="F246" s="86">
        <f t="shared" si="30"/>
        <v>0</v>
      </c>
      <c r="G246" s="442"/>
      <c r="H246" s="82" t="s">
        <v>35</v>
      </c>
      <c r="I246" s="79"/>
      <c r="J246" s="434"/>
      <c r="K246" s="434"/>
      <c r="L246" s="74"/>
      <c r="M246" s="74"/>
      <c r="N246" s="74"/>
      <c r="O246" s="74"/>
      <c r="P246" s="74"/>
      <c r="Q246" s="75"/>
      <c r="R246" s="75"/>
      <c r="S246" s="75"/>
      <c r="T246" s="75"/>
    </row>
    <row r="247" spans="1:20" s="76" customFormat="1" ht="12" customHeight="1" x14ac:dyDescent="0.25">
      <c r="A247" s="470"/>
      <c r="B247" s="471"/>
      <c r="C247" s="85" t="s">
        <v>36</v>
      </c>
      <c r="D247" s="86">
        <f>[1]табл.8!I259</f>
        <v>0</v>
      </c>
      <c r="E247" s="86">
        <v>0</v>
      </c>
      <c r="F247" s="86">
        <v>0</v>
      </c>
      <c r="G247" s="442"/>
      <c r="H247" s="82" t="s">
        <v>37</v>
      </c>
      <c r="I247" s="79"/>
      <c r="J247" s="434"/>
      <c r="K247" s="434"/>
      <c r="L247" s="74"/>
      <c r="M247" s="74"/>
      <c r="N247" s="74"/>
      <c r="O247" s="74"/>
      <c r="P247" s="74"/>
      <c r="Q247" s="75"/>
      <c r="R247" s="75"/>
      <c r="S247" s="75"/>
      <c r="T247" s="75"/>
    </row>
    <row r="248" spans="1:20" ht="12" customHeight="1" x14ac:dyDescent="0.25">
      <c r="A248" s="472" t="s">
        <v>126</v>
      </c>
      <c r="B248" s="473" t="s">
        <v>127</v>
      </c>
      <c r="C248" s="87" t="s">
        <v>28</v>
      </c>
      <c r="D248" s="88">
        <f>D249+D250+D251+D252</f>
        <v>65330920.339999996</v>
      </c>
      <c r="E248" s="88">
        <f>E249+E250+E251+E252</f>
        <v>28582350.380000003</v>
      </c>
      <c r="F248" s="88">
        <f>E248/D248</f>
        <v>0.43750111327453561</v>
      </c>
      <c r="G248" s="474"/>
      <c r="H248" s="89" t="s">
        <v>39</v>
      </c>
      <c r="I248" s="87"/>
      <c r="J248" s="475"/>
      <c r="K248" s="475"/>
    </row>
    <row r="249" spans="1:20" ht="12" customHeight="1" x14ac:dyDescent="0.25">
      <c r="A249" s="472"/>
      <c r="B249" s="473"/>
      <c r="C249" s="87" t="s">
        <v>30</v>
      </c>
      <c r="D249" s="88">
        <f>D254+D264</f>
        <v>19028854.399999999</v>
      </c>
      <c r="E249" s="88">
        <f>E254+E264</f>
        <v>8900652.2599999998</v>
      </c>
      <c r="F249" s="88">
        <f t="shared" ref="F249:F250" si="31">E249/D249</f>
        <v>0.46774503986955729</v>
      </c>
      <c r="G249" s="474"/>
      <c r="H249" s="89" t="s">
        <v>31</v>
      </c>
      <c r="I249" s="87"/>
      <c r="J249" s="475"/>
      <c r="K249" s="475"/>
    </row>
    <row r="250" spans="1:20" ht="12" customHeight="1" x14ac:dyDescent="0.25">
      <c r="A250" s="472"/>
      <c r="B250" s="473"/>
      <c r="C250" s="87" t="s">
        <v>32</v>
      </c>
      <c r="D250" s="88">
        <f t="shared" ref="D250:E252" si="32">D255+D265</f>
        <v>46302065.939999998</v>
      </c>
      <c r="E250" s="88">
        <f t="shared" si="32"/>
        <v>19681698.120000001</v>
      </c>
      <c r="F250" s="88">
        <f t="shared" si="31"/>
        <v>0.42507170512659853</v>
      </c>
      <c r="G250" s="474"/>
      <c r="H250" s="89" t="s">
        <v>33</v>
      </c>
      <c r="I250" s="87"/>
      <c r="J250" s="475"/>
      <c r="K250" s="475"/>
    </row>
    <row r="251" spans="1:20" ht="12" customHeight="1" x14ac:dyDescent="0.25">
      <c r="A251" s="472"/>
      <c r="B251" s="473"/>
      <c r="C251" s="87" t="s">
        <v>34</v>
      </c>
      <c r="D251" s="88">
        <f t="shared" si="32"/>
        <v>0</v>
      </c>
      <c r="E251" s="88">
        <f t="shared" si="32"/>
        <v>0</v>
      </c>
      <c r="F251" s="88">
        <v>0</v>
      </c>
      <c r="G251" s="474"/>
      <c r="H251" s="89" t="s">
        <v>35</v>
      </c>
      <c r="I251" s="87"/>
      <c r="J251" s="475"/>
      <c r="K251" s="475"/>
    </row>
    <row r="252" spans="1:20" ht="12" customHeight="1" x14ac:dyDescent="0.25">
      <c r="A252" s="472"/>
      <c r="B252" s="473"/>
      <c r="C252" s="87" t="s">
        <v>36</v>
      </c>
      <c r="D252" s="88">
        <f t="shared" si="32"/>
        <v>0</v>
      </c>
      <c r="E252" s="88">
        <f t="shared" si="32"/>
        <v>0</v>
      </c>
      <c r="F252" s="88">
        <v>0</v>
      </c>
      <c r="G252" s="474"/>
      <c r="H252" s="89" t="s">
        <v>37</v>
      </c>
      <c r="I252" s="87"/>
      <c r="J252" s="475"/>
      <c r="K252" s="475"/>
    </row>
    <row r="253" spans="1:20" ht="12" customHeight="1" x14ac:dyDescent="0.25">
      <c r="A253" s="466" t="s">
        <v>128</v>
      </c>
      <c r="B253" s="467" t="s">
        <v>129</v>
      </c>
      <c r="C253" s="90" t="s">
        <v>28</v>
      </c>
      <c r="D253" s="91">
        <f>D254+D255+D256+D257</f>
        <v>19028854.399999999</v>
      </c>
      <c r="E253" s="91">
        <f>E254+E255+E256+E257</f>
        <v>8900652.2599999998</v>
      </c>
      <c r="F253" s="91">
        <f>E253/D253</f>
        <v>0.46774503986955729</v>
      </c>
      <c r="G253" s="468"/>
      <c r="H253" s="92" t="s">
        <v>39</v>
      </c>
      <c r="I253" s="90"/>
      <c r="J253" s="469"/>
      <c r="K253" s="469"/>
      <c r="L253" s="7">
        <f>'[1]01 07 2021'!H3+'[1]01 07 2021'!H4+'[1]01 07 2021'!H5+'[1]01 07 2021'!H6+'[1]01 07 2021'!H7+'[1]01 07 2021'!H81</f>
        <v>19028854.399999999</v>
      </c>
      <c r="M253" s="7">
        <f>'[1]01 07 2021'!I3+'[1]01 07 2021'!I4+'[1]01 07 2021'!I5+'[1]01 07 2021'!I6+'[1]01 07 2021'!I7+'[1]01 07 2021'!I81</f>
        <v>0</v>
      </c>
      <c r="N253" s="7">
        <f>'[1]01 07 2021'!J3+'[1]01 07 2021'!J4+'[1]01 07 2021'!J5+'[1]01 07 2021'!J6+'[1]01 07 2021'!J7+'[1]01 07 2021'!J81</f>
        <v>19028854.399999999</v>
      </c>
      <c r="O253" s="7">
        <f>'[1]01 07 2021'!K3+'[1]01 07 2021'!K4+'[1]01 07 2021'!K5+'[1]01 07 2021'!K6+'[1]01 07 2021'!K7+'[1]01 07 2021'!K81</f>
        <v>8907373.5700000003</v>
      </c>
      <c r="P253" s="7">
        <f>'[1]01 07 2021'!L3+'[1]01 07 2021'!L4+'[1]01 07 2021'!L5+'[1]01 07 2021'!L6+'[1]01 07 2021'!L7+'[1]01 07 2021'!L81</f>
        <v>10121480.83</v>
      </c>
      <c r="Q253" s="7">
        <f>'[1]01 07 2021'!M3+'[1]01 07 2021'!M4+'[1]01 07 2021'!M5+'[1]01 07 2021'!M6+'[1]01 07 2021'!M7+'[1]01 07 2021'!M81</f>
        <v>8900652.2599999998</v>
      </c>
    </row>
    <row r="254" spans="1:20" ht="12" customHeight="1" x14ac:dyDescent="0.25">
      <c r="A254" s="466"/>
      <c r="B254" s="467"/>
      <c r="C254" s="90" t="s">
        <v>30</v>
      </c>
      <c r="D254" s="91">
        <f>D259</f>
        <v>19028854.399999999</v>
      </c>
      <c r="E254" s="91">
        <f>E259</f>
        <v>8900652.2599999998</v>
      </c>
      <c r="F254" s="91">
        <f t="shared" ref="F254:F259" si="33">E254/D254</f>
        <v>0.46774503986955729</v>
      </c>
      <c r="G254" s="468"/>
      <c r="H254" s="92" t="s">
        <v>31</v>
      </c>
      <c r="I254" s="90"/>
      <c r="J254" s="469"/>
      <c r="K254" s="469"/>
    </row>
    <row r="255" spans="1:20" ht="12" customHeight="1" x14ac:dyDescent="0.25">
      <c r="A255" s="466"/>
      <c r="B255" s="467"/>
      <c r="C255" s="90" t="s">
        <v>32</v>
      </c>
      <c r="D255" s="91">
        <f t="shared" ref="D255:E257" si="34">D260</f>
        <v>0</v>
      </c>
      <c r="E255" s="91">
        <f t="shared" si="34"/>
        <v>0</v>
      </c>
      <c r="F255" s="91">
        <v>0</v>
      </c>
      <c r="G255" s="468"/>
      <c r="H255" s="92" t="s">
        <v>33</v>
      </c>
      <c r="I255" s="90"/>
      <c r="J255" s="469"/>
      <c r="K255" s="469"/>
    </row>
    <row r="256" spans="1:20" ht="12" customHeight="1" x14ac:dyDescent="0.25">
      <c r="A256" s="466"/>
      <c r="B256" s="467"/>
      <c r="C256" s="90" t="s">
        <v>34</v>
      </c>
      <c r="D256" s="91">
        <f t="shared" si="34"/>
        <v>0</v>
      </c>
      <c r="E256" s="91">
        <f t="shared" si="34"/>
        <v>0</v>
      </c>
      <c r="F256" s="91">
        <v>0</v>
      </c>
      <c r="G256" s="468"/>
      <c r="H256" s="92" t="s">
        <v>35</v>
      </c>
      <c r="I256" s="90"/>
      <c r="J256" s="469"/>
      <c r="K256" s="469"/>
    </row>
    <row r="257" spans="1:20" ht="12" customHeight="1" x14ac:dyDescent="0.25">
      <c r="A257" s="466"/>
      <c r="B257" s="467"/>
      <c r="C257" s="90" t="s">
        <v>36</v>
      </c>
      <c r="D257" s="91">
        <f t="shared" si="34"/>
        <v>0</v>
      </c>
      <c r="E257" s="91">
        <f t="shared" si="34"/>
        <v>0</v>
      </c>
      <c r="F257" s="91">
        <v>0</v>
      </c>
      <c r="G257" s="468"/>
      <c r="H257" s="92" t="s">
        <v>37</v>
      </c>
      <c r="I257" s="90"/>
      <c r="J257" s="469"/>
      <c r="K257" s="469"/>
    </row>
    <row r="258" spans="1:20" ht="12" customHeight="1" x14ac:dyDescent="0.25">
      <c r="A258" s="449" t="s">
        <v>130</v>
      </c>
      <c r="B258" s="450" t="s">
        <v>131</v>
      </c>
      <c r="C258" s="13" t="s">
        <v>28</v>
      </c>
      <c r="D258" s="15">
        <f>D259+D260+D261+D262</f>
        <v>19028854.399999999</v>
      </c>
      <c r="E258" s="15">
        <f>E259+E260+E261+E262</f>
        <v>8900652.2599999998</v>
      </c>
      <c r="F258" s="15">
        <f t="shared" si="33"/>
        <v>0.46774503986955729</v>
      </c>
      <c r="G258" s="450" t="s">
        <v>48</v>
      </c>
      <c r="H258" s="450" t="s">
        <v>49</v>
      </c>
      <c r="I258" s="449" t="s">
        <v>50</v>
      </c>
      <c r="J258" s="451"/>
      <c r="K258" s="451"/>
    </row>
    <row r="259" spans="1:20" ht="12" customHeight="1" x14ac:dyDescent="0.25">
      <c r="A259" s="449"/>
      <c r="B259" s="450"/>
      <c r="C259" s="13" t="s">
        <v>30</v>
      </c>
      <c r="D259" s="15">
        <v>19028854.399999999</v>
      </c>
      <c r="E259" s="15">
        <v>8900652.2599999998</v>
      </c>
      <c r="F259" s="15">
        <f t="shared" si="33"/>
        <v>0.46774503986955729</v>
      </c>
      <c r="G259" s="450"/>
      <c r="H259" s="450"/>
      <c r="I259" s="449"/>
      <c r="J259" s="451"/>
      <c r="K259" s="451"/>
    </row>
    <row r="260" spans="1:20" ht="12" customHeight="1" x14ac:dyDescent="0.25">
      <c r="A260" s="449"/>
      <c r="B260" s="450"/>
      <c r="C260" s="13" t="s">
        <v>32</v>
      </c>
      <c r="D260" s="15">
        <v>0</v>
      </c>
      <c r="E260" s="15"/>
      <c r="F260" s="15">
        <v>0</v>
      </c>
      <c r="G260" s="450"/>
      <c r="H260" s="450"/>
      <c r="I260" s="449"/>
      <c r="J260" s="451"/>
      <c r="K260" s="451"/>
    </row>
    <row r="261" spans="1:20" ht="12" customHeight="1" x14ac:dyDescent="0.25">
      <c r="A261" s="449"/>
      <c r="B261" s="450"/>
      <c r="C261" s="13" t="s">
        <v>34</v>
      </c>
      <c r="D261" s="15">
        <v>0</v>
      </c>
      <c r="E261" s="15"/>
      <c r="F261" s="15">
        <v>0</v>
      </c>
      <c r="G261" s="450"/>
      <c r="H261" s="450"/>
      <c r="I261" s="449"/>
      <c r="J261" s="451"/>
      <c r="K261" s="451"/>
    </row>
    <row r="262" spans="1:20" ht="12" customHeight="1" x14ac:dyDescent="0.25">
      <c r="A262" s="449"/>
      <c r="B262" s="450"/>
      <c r="C262" s="13" t="s">
        <v>36</v>
      </c>
      <c r="D262" s="15">
        <v>0</v>
      </c>
      <c r="E262" s="15"/>
      <c r="F262" s="15">
        <v>0</v>
      </c>
      <c r="G262" s="450"/>
      <c r="H262" s="450"/>
      <c r="I262" s="449"/>
      <c r="J262" s="451"/>
      <c r="K262" s="451"/>
    </row>
    <row r="263" spans="1:20" s="70" customFormat="1" ht="12" customHeight="1" x14ac:dyDescent="0.25">
      <c r="A263" s="462" t="s">
        <v>132</v>
      </c>
      <c r="B263" s="463" t="s">
        <v>133</v>
      </c>
      <c r="C263" s="93" t="s">
        <v>28</v>
      </c>
      <c r="D263" s="94">
        <f>D264+D265+D266+D267</f>
        <v>46302065.939999998</v>
      </c>
      <c r="E263" s="94">
        <f>E264+E265+E266+E267</f>
        <v>19681698.120000001</v>
      </c>
      <c r="F263" s="94">
        <f>E263/D263</f>
        <v>0.42507170512659853</v>
      </c>
      <c r="G263" s="464"/>
      <c r="H263" s="95" t="s">
        <v>39</v>
      </c>
      <c r="I263" s="93"/>
      <c r="J263" s="465"/>
      <c r="K263" s="465"/>
      <c r="L263" s="68"/>
      <c r="M263" s="68"/>
      <c r="N263" s="68"/>
      <c r="O263" s="68"/>
      <c r="P263" s="68"/>
      <c r="Q263" s="69"/>
      <c r="R263" s="69"/>
      <c r="S263" s="69"/>
      <c r="T263" s="69"/>
    </row>
    <row r="264" spans="1:20" s="76" customFormat="1" ht="12" customHeight="1" x14ac:dyDescent="0.25">
      <c r="A264" s="462"/>
      <c r="B264" s="463"/>
      <c r="C264" s="96" t="s">
        <v>30</v>
      </c>
      <c r="D264" s="97">
        <f>D269+D274+D279+D284+D289+D294</f>
        <v>0</v>
      </c>
      <c r="E264" s="97">
        <f>E269+E274+E279+E284+E289+E294</f>
        <v>0</v>
      </c>
      <c r="F264" s="97">
        <v>0</v>
      </c>
      <c r="G264" s="464"/>
      <c r="H264" s="98" t="s">
        <v>31</v>
      </c>
      <c r="I264" s="96"/>
      <c r="J264" s="465"/>
      <c r="K264" s="465"/>
      <c r="L264" s="99">
        <f>D265-L265</f>
        <v>511400</v>
      </c>
      <c r="M264" s="74"/>
      <c r="N264" s="74"/>
      <c r="O264" s="74"/>
      <c r="P264" s="74"/>
      <c r="Q264" s="75"/>
      <c r="R264" s="75"/>
      <c r="S264" s="75"/>
      <c r="T264" s="75"/>
    </row>
    <row r="265" spans="1:20" s="76" customFormat="1" ht="12" customHeight="1" x14ac:dyDescent="0.25">
      <c r="A265" s="462"/>
      <c r="B265" s="463"/>
      <c r="C265" s="96" t="s">
        <v>32</v>
      </c>
      <c r="D265" s="97">
        <f t="shared" ref="D265:E267" si="35">D270+D275+D280+D285+D290+D295</f>
        <v>46302065.939999998</v>
      </c>
      <c r="E265" s="97">
        <f t="shared" si="35"/>
        <v>19681698.120000001</v>
      </c>
      <c r="F265" s="97">
        <f t="shared" ref="F265:F290" si="36">E265/D265</f>
        <v>0.42507170512659853</v>
      </c>
      <c r="G265" s="464"/>
      <c r="H265" s="98" t="s">
        <v>33</v>
      </c>
      <c r="I265" s="96"/>
      <c r="J265" s="465"/>
      <c r="K265" s="465"/>
      <c r="L265" s="75">
        <f>'[1]01 07 2021'!H121+'[1]01 07 2021'!H122+'[1]01 07 2021'!H123+'[1]01 07 2021'!H124+'[1]01 07 2021'!H125+'[1]01 07 2021'!H112+'[1]01 07 2021'!H108+'[1]01 07 2021'!H109+'[1]01 07 2021'!H110+'[1]01 07 2021'!H111+'[1]01 07 2021'!H119+'[1]01 07 2021'!H117+'[1]01 07 2021'!H118+'[1]01 07 2021'!H120</f>
        <v>45790665.939999998</v>
      </c>
      <c r="M265" s="75">
        <f>'[1]01 07 2021'!I121+'[1]01 07 2021'!I122+'[1]01 07 2021'!I123+'[1]01 07 2021'!I124+'[1]01 07 2021'!I125+'[1]01 07 2021'!I112+'[1]01 07 2021'!I108+'[1]01 07 2021'!I109+'[1]01 07 2021'!I110+'[1]01 07 2021'!I111+'[1]01 07 2021'!I119+'[1]01 07 2021'!I117+'[1]01 07 2021'!I118+'[1]01 07 2021'!I120</f>
        <v>0</v>
      </c>
      <c r="N265" s="75">
        <f>'[1]01 07 2021'!J121+'[1]01 07 2021'!J122+'[1]01 07 2021'!J123+'[1]01 07 2021'!J124+'[1]01 07 2021'!J125+'[1]01 07 2021'!J112+'[1]01 07 2021'!J108+'[1]01 07 2021'!J109+'[1]01 07 2021'!J110+'[1]01 07 2021'!J111+'[1]01 07 2021'!J119+'[1]01 07 2021'!J117+'[1]01 07 2021'!J118+'[1]01 07 2021'!J120</f>
        <v>45790665.939999998</v>
      </c>
      <c r="O265" s="75">
        <f>'[1]01 07 2021'!K121+'[1]01 07 2021'!K122+'[1]01 07 2021'!K123+'[1]01 07 2021'!K124+'[1]01 07 2021'!K125+'[1]01 07 2021'!K112+'[1]01 07 2021'!K108+'[1]01 07 2021'!K109+'[1]01 07 2021'!K110+'[1]01 07 2021'!K111+'[1]01 07 2021'!K119+'[1]01 07 2021'!K117+'[1]01 07 2021'!K118+'[1]01 07 2021'!K120</f>
        <v>19682900.68</v>
      </c>
      <c r="P265" s="75">
        <f>'[1]01 07 2021'!L121+'[1]01 07 2021'!L122+'[1]01 07 2021'!L123+'[1]01 07 2021'!L124+'[1]01 07 2021'!L125+'[1]01 07 2021'!L112+'[1]01 07 2021'!L108+'[1]01 07 2021'!L109+'[1]01 07 2021'!L110+'[1]01 07 2021'!L111+'[1]01 07 2021'!L119+'[1]01 07 2021'!L117+'[1]01 07 2021'!L118+'[1]01 07 2021'!L120</f>
        <v>26107765.260000002</v>
      </c>
      <c r="Q265" s="75">
        <f>'[1]01 07 2021'!M121+'[1]01 07 2021'!M122+'[1]01 07 2021'!M123+'[1]01 07 2021'!M124+'[1]01 07 2021'!M125+'[1]01 07 2021'!M112+'[1]01 07 2021'!M108+'[1]01 07 2021'!M109+'[1]01 07 2021'!M110+'[1]01 07 2021'!M111+'[1]01 07 2021'!M119+'[1]01 07 2021'!M117+'[1]01 07 2021'!M118+'[1]01 07 2021'!M120</f>
        <v>19681698.119999997</v>
      </c>
      <c r="R265" s="75"/>
      <c r="S265" s="75"/>
      <c r="T265" s="75"/>
    </row>
    <row r="266" spans="1:20" s="76" customFormat="1" ht="12" customHeight="1" x14ac:dyDescent="0.25">
      <c r="A266" s="462"/>
      <c r="B266" s="463"/>
      <c r="C266" s="96" t="s">
        <v>34</v>
      </c>
      <c r="D266" s="97">
        <f t="shared" si="35"/>
        <v>0</v>
      </c>
      <c r="E266" s="97">
        <f t="shared" si="35"/>
        <v>0</v>
      </c>
      <c r="F266" s="97">
        <v>0</v>
      </c>
      <c r="G266" s="464"/>
      <c r="H266" s="98" t="s">
        <v>35</v>
      </c>
      <c r="I266" s="96"/>
      <c r="J266" s="465"/>
      <c r="K266" s="465"/>
      <c r="L266" s="74"/>
      <c r="M266" s="74"/>
      <c r="N266" s="74"/>
      <c r="O266" s="74"/>
      <c r="P266" s="74"/>
      <c r="Q266" s="75"/>
      <c r="R266" s="75"/>
      <c r="S266" s="75"/>
      <c r="T266" s="75"/>
    </row>
    <row r="267" spans="1:20" s="76" customFormat="1" ht="12" customHeight="1" x14ac:dyDescent="0.25">
      <c r="A267" s="462"/>
      <c r="B267" s="463"/>
      <c r="C267" s="96" t="s">
        <v>36</v>
      </c>
      <c r="D267" s="97">
        <f t="shared" si="35"/>
        <v>0</v>
      </c>
      <c r="E267" s="97">
        <f t="shared" si="35"/>
        <v>0</v>
      </c>
      <c r="F267" s="97">
        <v>0</v>
      </c>
      <c r="G267" s="464"/>
      <c r="H267" s="98" t="s">
        <v>37</v>
      </c>
      <c r="I267" s="96"/>
      <c r="J267" s="465"/>
      <c r="K267" s="465"/>
      <c r="L267" s="74"/>
      <c r="M267" s="74"/>
      <c r="N267" s="74"/>
      <c r="O267" s="74"/>
      <c r="P267" s="74"/>
      <c r="Q267" s="75"/>
      <c r="R267" s="75"/>
      <c r="S267" s="75"/>
      <c r="T267" s="75"/>
    </row>
    <row r="268" spans="1:20" s="22" customFormat="1" ht="12" customHeight="1" x14ac:dyDescent="0.25">
      <c r="A268" s="449" t="s">
        <v>134</v>
      </c>
      <c r="B268" s="450" t="s">
        <v>135</v>
      </c>
      <c r="C268" s="17" t="s">
        <v>28</v>
      </c>
      <c r="D268" s="18">
        <f>D269+D270+D271+D272</f>
        <v>7518000</v>
      </c>
      <c r="E268" s="18">
        <f>E269+E270+E271+E272</f>
        <v>3705184</v>
      </c>
      <c r="F268" s="18">
        <f t="shared" si="36"/>
        <v>0.49284171322160147</v>
      </c>
      <c r="G268" s="450" t="s">
        <v>48</v>
      </c>
      <c r="H268" s="450" t="s">
        <v>49</v>
      </c>
      <c r="I268" s="449" t="s">
        <v>50</v>
      </c>
      <c r="J268" s="451"/>
      <c r="K268" s="451"/>
      <c r="L268" s="20"/>
      <c r="M268" s="20"/>
      <c r="N268" s="20"/>
      <c r="O268" s="20"/>
      <c r="P268" s="20"/>
      <c r="Q268" s="21"/>
      <c r="R268" s="21"/>
      <c r="S268" s="21"/>
      <c r="T268" s="21"/>
    </row>
    <row r="269" spans="1:20" ht="12" customHeight="1" x14ac:dyDescent="0.25">
      <c r="A269" s="449"/>
      <c r="B269" s="450"/>
      <c r="C269" s="13" t="s">
        <v>30</v>
      </c>
      <c r="D269" s="15">
        <v>0</v>
      </c>
      <c r="E269" s="15">
        <v>0</v>
      </c>
      <c r="F269" s="15">
        <v>0</v>
      </c>
      <c r="G269" s="450"/>
      <c r="H269" s="450"/>
      <c r="I269" s="449"/>
      <c r="J269" s="451"/>
      <c r="K269" s="451"/>
    </row>
    <row r="270" spans="1:20" ht="12" customHeight="1" x14ac:dyDescent="0.25">
      <c r="A270" s="449"/>
      <c r="B270" s="450"/>
      <c r="C270" s="13" t="s">
        <v>32</v>
      </c>
      <c r="D270" s="15">
        <v>7518000</v>
      </c>
      <c r="E270" s="15">
        <v>3705184</v>
      </c>
      <c r="F270" s="15">
        <f t="shared" si="36"/>
        <v>0.49284171322160147</v>
      </c>
      <c r="G270" s="450"/>
      <c r="H270" s="450"/>
      <c r="I270" s="449"/>
      <c r="J270" s="451"/>
      <c r="K270" s="451"/>
      <c r="L270" s="7">
        <f>'[1]01 07 2021'!H121+'[1]01 07 2021'!H122+'[1]01 07 2021'!H123+'[1]01 07 2021'!H124+'[1]01 07 2021'!H125</f>
        <v>7518000</v>
      </c>
    </row>
    <row r="271" spans="1:20" ht="12" customHeight="1" x14ac:dyDescent="0.25">
      <c r="A271" s="449"/>
      <c r="B271" s="450"/>
      <c r="C271" s="13" t="s">
        <v>34</v>
      </c>
      <c r="D271" s="15">
        <v>0</v>
      </c>
      <c r="E271" s="15">
        <v>0</v>
      </c>
      <c r="F271" s="15">
        <v>0</v>
      </c>
      <c r="G271" s="450"/>
      <c r="H271" s="450"/>
      <c r="I271" s="449"/>
      <c r="J271" s="451"/>
      <c r="K271" s="451"/>
    </row>
    <row r="272" spans="1:20" ht="12" customHeight="1" x14ac:dyDescent="0.25">
      <c r="A272" s="449"/>
      <c r="B272" s="450"/>
      <c r="C272" s="13" t="s">
        <v>36</v>
      </c>
      <c r="D272" s="15">
        <v>0</v>
      </c>
      <c r="E272" s="15">
        <v>0</v>
      </c>
      <c r="F272" s="15">
        <v>0</v>
      </c>
      <c r="G272" s="450"/>
      <c r="H272" s="450"/>
      <c r="I272" s="449"/>
      <c r="J272" s="451"/>
      <c r="K272" s="451"/>
    </row>
    <row r="273" spans="1:20" s="22" customFormat="1" ht="12.75" customHeight="1" x14ac:dyDescent="0.25">
      <c r="A273" s="449" t="s">
        <v>136</v>
      </c>
      <c r="B273" s="450" t="s">
        <v>137</v>
      </c>
      <c r="C273" s="17" t="s">
        <v>28</v>
      </c>
      <c r="D273" s="18">
        <f>D274+D275+D276+D277</f>
        <v>85565.94</v>
      </c>
      <c r="E273" s="18">
        <f>E274+E275+E276+E277</f>
        <v>0</v>
      </c>
      <c r="F273" s="18">
        <f t="shared" si="36"/>
        <v>0</v>
      </c>
      <c r="G273" s="450" t="s">
        <v>48</v>
      </c>
      <c r="H273" s="450" t="s">
        <v>49</v>
      </c>
      <c r="I273" s="449" t="s">
        <v>50</v>
      </c>
      <c r="J273" s="451"/>
      <c r="K273" s="451"/>
      <c r="L273" s="20"/>
      <c r="M273" s="20"/>
      <c r="N273" s="20"/>
      <c r="O273" s="20"/>
      <c r="P273" s="20"/>
      <c r="Q273" s="21"/>
      <c r="R273" s="21"/>
      <c r="S273" s="21"/>
      <c r="T273" s="21"/>
    </row>
    <row r="274" spans="1:20" ht="12" customHeight="1" x14ac:dyDescent="0.25">
      <c r="A274" s="449"/>
      <c r="B274" s="450"/>
      <c r="C274" s="13" t="s">
        <v>30</v>
      </c>
      <c r="D274" s="15">
        <v>0</v>
      </c>
      <c r="E274" s="15">
        <v>0</v>
      </c>
      <c r="F274" s="15">
        <v>0</v>
      </c>
      <c r="G274" s="450"/>
      <c r="H274" s="450"/>
      <c r="I274" s="449"/>
      <c r="J274" s="451"/>
      <c r="K274" s="451"/>
    </row>
    <row r="275" spans="1:20" ht="12" customHeight="1" x14ac:dyDescent="0.25">
      <c r="A275" s="449"/>
      <c r="B275" s="450"/>
      <c r="C275" s="13" t="s">
        <v>32</v>
      </c>
      <c r="D275" s="15">
        <v>85565.94</v>
      </c>
      <c r="E275" s="15">
        <v>0</v>
      </c>
      <c r="F275" s="15">
        <f t="shared" si="36"/>
        <v>0</v>
      </c>
      <c r="G275" s="450"/>
      <c r="H275" s="450"/>
      <c r="I275" s="449"/>
      <c r="J275" s="451"/>
      <c r="K275" s="451"/>
    </row>
    <row r="276" spans="1:20" ht="12" customHeight="1" x14ac:dyDescent="0.25">
      <c r="A276" s="449"/>
      <c r="B276" s="450"/>
      <c r="C276" s="13" t="s">
        <v>34</v>
      </c>
      <c r="D276" s="15">
        <v>0</v>
      </c>
      <c r="E276" s="15">
        <v>0</v>
      </c>
      <c r="F276" s="15">
        <v>0</v>
      </c>
      <c r="G276" s="450"/>
      <c r="H276" s="450"/>
      <c r="I276" s="449"/>
      <c r="J276" s="451"/>
      <c r="K276" s="451"/>
    </row>
    <row r="277" spans="1:20" ht="12" customHeight="1" x14ac:dyDescent="0.25">
      <c r="A277" s="449"/>
      <c r="B277" s="450"/>
      <c r="C277" s="13" t="s">
        <v>36</v>
      </c>
      <c r="D277" s="15">
        <v>0</v>
      </c>
      <c r="E277" s="15">
        <v>0</v>
      </c>
      <c r="F277" s="15">
        <v>0</v>
      </c>
      <c r="G277" s="450"/>
      <c r="H277" s="450"/>
      <c r="I277" s="449"/>
      <c r="J277" s="451"/>
      <c r="K277" s="451"/>
    </row>
    <row r="278" spans="1:20" s="22" customFormat="1" ht="12" customHeight="1" x14ac:dyDescent="0.25">
      <c r="A278" s="449" t="s">
        <v>138</v>
      </c>
      <c r="B278" s="450" t="s">
        <v>139</v>
      </c>
      <c r="C278" s="17" t="s">
        <v>28</v>
      </c>
      <c r="D278" s="18">
        <f>D279+D280+D281+D282</f>
        <v>1657100</v>
      </c>
      <c r="E278" s="18">
        <f>E279+E280+E281+E282</f>
        <v>516111.42</v>
      </c>
      <c r="F278" s="18">
        <f t="shared" si="36"/>
        <v>0.31145460141210546</v>
      </c>
      <c r="G278" s="457"/>
      <c r="H278" s="19" t="s">
        <v>39</v>
      </c>
      <c r="I278" s="17"/>
      <c r="J278" s="451"/>
      <c r="K278" s="451"/>
      <c r="L278" s="20"/>
      <c r="M278" s="20"/>
      <c r="N278" s="20"/>
      <c r="O278" s="20"/>
      <c r="P278" s="20"/>
      <c r="Q278" s="21"/>
      <c r="R278" s="21"/>
      <c r="S278" s="21"/>
      <c r="T278" s="21"/>
    </row>
    <row r="279" spans="1:20" ht="12" customHeight="1" x14ac:dyDescent="0.25">
      <c r="A279" s="449"/>
      <c r="B279" s="450"/>
      <c r="C279" s="13" t="s">
        <v>30</v>
      </c>
      <c r="D279" s="15">
        <v>0</v>
      </c>
      <c r="E279" s="15">
        <v>0</v>
      </c>
      <c r="F279" s="15">
        <v>0</v>
      </c>
      <c r="G279" s="457"/>
      <c r="H279" s="16" t="s">
        <v>31</v>
      </c>
      <c r="I279" s="13"/>
      <c r="J279" s="451"/>
      <c r="K279" s="451"/>
    </row>
    <row r="280" spans="1:20" ht="12" customHeight="1" x14ac:dyDescent="0.25">
      <c r="A280" s="449"/>
      <c r="B280" s="450"/>
      <c r="C280" s="13" t="s">
        <v>32</v>
      </c>
      <c r="D280" s="15">
        <v>1657100</v>
      </c>
      <c r="E280" s="15">
        <v>516111.42</v>
      </c>
      <c r="F280" s="15">
        <f t="shared" si="36"/>
        <v>0.31145460141210546</v>
      </c>
      <c r="G280" s="457"/>
      <c r="H280" s="16" t="s">
        <v>33</v>
      </c>
      <c r="I280" s="13"/>
      <c r="J280" s="451"/>
      <c r="K280" s="451"/>
    </row>
    <row r="281" spans="1:20" ht="12" customHeight="1" x14ac:dyDescent="0.25">
      <c r="A281" s="449"/>
      <c r="B281" s="450"/>
      <c r="C281" s="13" t="s">
        <v>34</v>
      </c>
      <c r="D281" s="15">
        <v>0</v>
      </c>
      <c r="E281" s="15">
        <v>0</v>
      </c>
      <c r="F281" s="15">
        <v>0</v>
      </c>
      <c r="G281" s="457"/>
      <c r="H281" s="16" t="s">
        <v>35</v>
      </c>
      <c r="I281" s="13"/>
      <c r="J281" s="451"/>
      <c r="K281" s="451"/>
    </row>
    <row r="282" spans="1:20" ht="12" customHeight="1" x14ac:dyDescent="0.25">
      <c r="A282" s="449"/>
      <c r="B282" s="450"/>
      <c r="C282" s="13" t="s">
        <v>36</v>
      </c>
      <c r="D282" s="15">
        <v>0</v>
      </c>
      <c r="E282" s="15">
        <v>0</v>
      </c>
      <c r="F282" s="15">
        <v>0</v>
      </c>
      <c r="G282" s="457"/>
      <c r="H282" s="16" t="s">
        <v>37</v>
      </c>
      <c r="I282" s="13"/>
      <c r="J282" s="451"/>
      <c r="K282" s="451"/>
    </row>
    <row r="283" spans="1:20" s="22" customFormat="1" ht="12" customHeight="1" x14ac:dyDescent="0.25">
      <c r="A283" s="449" t="s">
        <v>140</v>
      </c>
      <c r="B283" s="450" t="s">
        <v>141</v>
      </c>
      <c r="C283" s="17" t="s">
        <v>28</v>
      </c>
      <c r="D283" s="18">
        <f>D284+D285+D286+D287</f>
        <v>305000</v>
      </c>
      <c r="E283" s="18">
        <f>E284+E285+E286+E287</f>
        <v>88500</v>
      </c>
      <c r="F283" s="18">
        <f t="shared" si="36"/>
        <v>0.29016393442622951</v>
      </c>
      <c r="G283" s="450" t="s">
        <v>48</v>
      </c>
      <c r="H283" s="450" t="s">
        <v>49</v>
      </c>
      <c r="I283" s="449" t="s">
        <v>50</v>
      </c>
      <c r="J283" s="451"/>
      <c r="K283" s="451"/>
      <c r="L283" s="20"/>
      <c r="M283" s="20"/>
      <c r="N283" s="20"/>
      <c r="O283" s="20"/>
      <c r="P283" s="20"/>
      <c r="Q283" s="21"/>
      <c r="R283" s="21"/>
      <c r="S283" s="21"/>
      <c r="T283" s="21"/>
    </row>
    <row r="284" spans="1:20" ht="12" customHeight="1" x14ac:dyDescent="0.25">
      <c r="A284" s="449"/>
      <c r="B284" s="450"/>
      <c r="C284" s="13" t="s">
        <v>30</v>
      </c>
      <c r="D284" s="15">
        <v>0</v>
      </c>
      <c r="E284" s="15">
        <v>0</v>
      </c>
      <c r="F284" s="15">
        <v>0</v>
      </c>
      <c r="G284" s="450"/>
      <c r="H284" s="450"/>
      <c r="I284" s="449"/>
      <c r="J284" s="451"/>
      <c r="K284" s="451"/>
    </row>
    <row r="285" spans="1:20" ht="12" customHeight="1" x14ac:dyDescent="0.25">
      <c r="A285" s="449"/>
      <c r="B285" s="450"/>
      <c r="C285" s="13" t="s">
        <v>32</v>
      </c>
      <c r="D285" s="15">
        <v>305000</v>
      </c>
      <c r="E285" s="15">
        <v>88500</v>
      </c>
      <c r="F285" s="15">
        <f t="shared" si="36"/>
        <v>0.29016393442622951</v>
      </c>
      <c r="G285" s="450"/>
      <c r="H285" s="450"/>
      <c r="I285" s="449"/>
      <c r="J285" s="451"/>
      <c r="K285" s="451"/>
    </row>
    <row r="286" spans="1:20" ht="12" customHeight="1" x14ac:dyDescent="0.25">
      <c r="A286" s="449"/>
      <c r="B286" s="450"/>
      <c r="C286" s="13" t="s">
        <v>34</v>
      </c>
      <c r="D286" s="15">
        <v>0</v>
      </c>
      <c r="E286" s="15">
        <v>0</v>
      </c>
      <c r="F286" s="15">
        <v>0</v>
      </c>
      <c r="G286" s="450"/>
      <c r="H286" s="450"/>
      <c r="I286" s="449"/>
      <c r="J286" s="451"/>
      <c r="K286" s="451"/>
    </row>
    <row r="287" spans="1:20" ht="12" customHeight="1" x14ac:dyDescent="0.25">
      <c r="A287" s="449"/>
      <c r="B287" s="450"/>
      <c r="C287" s="13" t="s">
        <v>36</v>
      </c>
      <c r="D287" s="15">
        <v>0</v>
      </c>
      <c r="E287" s="15">
        <v>0</v>
      </c>
      <c r="F287" s="15">
        <v>0</v>
      </c>
      <c r="G287" s="450"/>
      <c r="H287" s="450"/>
      <c r="I287" s="449"/>
      <c r="J287" s="451"/>
      <c r="K287" s="451"/>
    </row>
    <row r="288" spans="1:20" s="22" customFormat="1" ht="12" customHeight="1" x14ac:dyDescent="0.25">
      <c r="A288" s="449" t="s">
        <v>142</v>
      </c>
      <c r="B288" s="450" t="s">
        <v>143</v>
      </c>
      <c r="C288" s="17" t="s">
        <v>28</v>
      </c>
      <c r="D288" s="18">
        <f>D289+D290+D291+D292</f>
        <v>692700</v>
      </c>
      <c r="E288" s="18">
        <f>E289+E290+E291+E292</f>
        <v>176515.56</v>
      </c>
      <c r="F288" s="18">
        <f t="shared" si="36"/>
        <v>0.25482252057167604</v>
      </c>
      <c r="G288" s="457"/>
      <c r="H288" s="19" t="s">
        <v>39</v>
      </c>
      <c r="I288" s="17"/>
      <c r="J288" s="451"/>
      <c r="K288" s="451"/>
      <c r="L288" s="20"/>
      <c r="M288" s="20"/>
      <c r="N288" s="20"/>
      <c r="O288" s="20"/>
      <c r="P288" s="20"/>
      <c r="Q288" s="21"/>
      <c r="R288" s="21"/>
      <c r="S288" s="21"/>
      <c r="T288" s="21"/>
    </row>
    <row r="289" spans="1:20" ht="12" customHeight="1" x14ac:dyDescent="0.25">
      <c r="A289" s="449"/>
      <c r="B289" s="450"/>
      <c r="C289" s="13" t="s">
        <v>30</v>
      </c>
      <c r="D289" s="15">
        <v>0</v>
      </c>
      <c r="E289" s="15">
        <v>0</v>
      </c>
      <c r="F289" s="15">
        <v>0</v>
      </c>
      <c r="G289" s="457"/>
      <c r="H289" s="16" t="s">
        <v>31</v>
      </c>
      <c r="I289" s="13"/>
      <c r="J289" s="451"/>
      <c r="K289" s="451"/>
    </row>
    <row r="290" spans="1:20" ht="12" customHeight="1" x14ac:dyDescent="0.25">
      <c r="A290" s="449"/>
      <c r="B290" s="450"/>
      <c r="C290" s="13" t="s">
        <v>32</v>
      </c>
      <c r="D290" s="15">
        <v>692700</v>
      </c>
      <c r="E290" s="15">
        <v>176515.56</v>
      </c>
      <c r="F290" s="15">
        <f t="shared" si="36"/>
        <v>0.25482252057167604</v>
      </c>
      <c r="G290" s="457"/>
      <c r="H290" s="16" t="s">
        <v>33</v>
      </c>
      <c r="I290" s="13"/>
      <c r="J290" s="451"/>
      <c r="K290" s="451"/>
    </row>
    <row r="291" spans="1:20" ht="12" customHeight="1" x14ac:dyDescent="0.25">
      <c r="A291" s="449"/>
      <c r="B291" s="450"/>
      <c r="C291" s="13" t="s">
        <v>34</v>
      </c>
      <c r="D291" s="15">
        <v>0</v>
      </c>
      <c r="E291" s="15">
        <v>0</v>
      </c>
      <c r="F291" s="15">
        <v>0</v>
      </c>
      <c r="G291" s="457"/>
      <c r="H291" s="16" t="s">
        <v>35</v>
      </c>
      <c r="I291" s="13"/>
      <c r="J291" s="451"/>
      <c r="K291" s="451"/>
    </row>
    <row r="292" spans="1:20" ht="12" customHeight="1" x14ac:dyDescent="0.25">
      <c r="A292" s="449"/>
      <c r="B292" s="450"/>
      <c r="C292" s="13" t="s">
        <v>36</v>
      </c>
      <c r="D292" s="15">
        <v>0</v>
      </c>
      <c r="E292" s="15">
        <v>0</v>
      </c>
      <c r="F292" s="15">
        <v>0</v>
      </c>
      <c r="G292" s="457"/>
      <c r="H292" s="16" t="s">
        <v>37</v>
      </c>
      <c r="I292" s="13"/>
      <c r="J292" s="451"/>
      <c r="K292" s="451"/>
    </row>
    <row r="293" spans="1:20" s="22" customFormat="1" ht="12" customHeight="1" x14ac:dyDescent="0.25">
      <c r="A293" s="449" t="s">
        <v>144</v>
      </c>
      <c r="B293" s="450" t="s">
        <v>145</v>
      </c>
      <c r="C293" s="17" t="s">
        <v>28</v>
      </c>
      <c r="D293" s="18">
        <f>D294+D295+D296+D297</f>
        <v>36043700</v>
      </c>
      <c r="E293" s="18">
        <f>E294+E295+E296+E297</f>
        <v>15195387.140000001</v>
      </c>
      <c r="F293" s="18">
        <f t="shared" ref="F293:F295" si="37">E293/D293</f>
        <v>0.42158233311230536</v>
      </c>
      <c r="G293" s="457"/>
      <c r="H293" s="19" t="s">
        <v>39</v>
      </c>
      <c r="I293" s="17"/>
      <c r="J293" s="451"/>
      <c r="K293" s="451"/>
      <c r="L293" s="20"/>
      <c r="M293" s="20"/>
      <c r="N293" s="20"/>
      <c r="O293" s="20"/>
      <c r="P293" s="20"/>
      <c r="Q293" s="21"/>
      <c r="R293" s="21"/>
      <c r="S293" s="21"/>
      <c r="T293" s="21"/>
    </row>
    <row r="294" spans="1:20" ht="12" customHeight="1" x14ac:dyDescent="0.25">
      <c r="A294" s="449"/>
      <c r="B294" s="450"/>
      <c r="C294" s="13" t="s">
        <v>30</v>
      </c>
      <c r="D294" s="15">
        <v>0</v>
      </c>
      <c r="E294" s="15">
        <v>0</v>
      </c>
      <c r="F294" s="15">
        <v>0</v>
      </c>
      <c r="G294" s="457"/>
      <c r="H294" s="16" t="s">
        <v>31</v>
      </c>
      <c r="I294" s="13"/>
      <c r="J294" s="451"/>
      <c r="K294" s="451"/>
    </row>
    <row r="295" spans="1:20" ht="12" customHeight="1" x14ac:dyDescent="0.25">
      <c r="A295" s="449"/>
      <c r="B295" s="450"/>
      <c r="C295" s="13" t="s">
        <v>32</v>
      </c>
      <c r="D295" s="100">
        <v>36043700</v>
      </c>
      <c r="E295" s="15">
        <v>15195387.140000001</v>
      </c>
      <c r="F295" s="15">
        <f t="shared" si="37"/>
        <v>0.42158233311230536</v>
      </c>
      <c r="G295" s="457"/>
      <c r="H295" s="16" t="s">
        <v>33</v>
      </c>
      <c r="I295" s="13"/>
      <c r="J295" s="451"/>
      <c r="K295" s="451"/>
      <c r="L295" s="7">
        <f>'[1]01 07 2021'!H117+'[1]01 07 2021'!H118+'[1]01 07 2021'!H120</f>
        <v>35532300</v>
      </c>
    </row>
    <row r="296" spans="1:20" ht="12" customHeight="1" x14ac:dyDescent="0.25">
      <c r="A296" s="449"/>
      <c r="B296" s="450"/>
      <c r="C296" s="13" t="s">
        <v>34</v>
      </c>
      <c r="D296" s="15">
        <v>0</v>
      </c>
      <c r="E296" s="15">
        <v>0</v>
      </c>
      <c r="F296" s="15">
        <v>0</v>
      </c>
      <c r="G296" s="457"/>
      <c r="H296" s="16" t="s">
        <v>35</v>
      </c>
      <c r="I296" s="13"/>
      <c r="J296" s="451"/>
      <c r="K296" s="451"/>
    </row>
    <row r="297" spans="1:20" ht="12" customHeight="1" x14ac:dyDescent="0.25">
      <c r="A297" s="449"/>
      <c r="B297" s="450"/>
      <c r="C297" s="13" t="s">
        <v>36</v>
      </c>
      <c r="D297" s="15">
        <v>0</v>
      </c>
      <c r="E297" s="15">
        <v>0</v>
      </c>
      <c r="F297" s="15">
        <v>0</v>
      </c>
      <c r="G297" s="457"/>
      <c r="H297" s="16" t="s">
        <v>37</v>
      </c>
      <c r="I297" s="13"/>
      <c r="J297" s="451"/>
      <c r="K297" s="451"/>
    </row>
    <row r="298" spans="1:20" s="22" customFormat="1" ht="12" customHeight="1" x14ac:dyDescent="0.25">
      <c r="A298" s="458" t="s">
        <v>146</v>
      </c>
      <c r="B298" s="459" t="s">
        <v>147</v>
      </c>
      <c r="C298" s="101" t="s">
        <v>28</v>
      </c>
      <c r="D298" s="102">
        <f>D299+D300+D301+D302</f>
        <v>204866831.12</v>
      </c>
      <c r="E298" s="102">
        <f>E299+E300+E301+E302</f>
        <v>75013817.179999992</v>
      </c>
      <c r="F298" s="102">
        <f>E298/D298</f>
        <v>0.36615891781945376</v>
      </c>
      <c r="G298" s="460"/>
      <c r="H298" s="103" t="s">
        <v>39</v>
      </c>
      <c r="I298" s="101"/>
      <c r="J298" s="461"/>
      <c r="K298" s="461"/>
      <c r="L298" s="20"/>
      <c r="M298" s="20"/>
      <c r="N298" s="20"/>
      <c r="O298" s="20"/>
      <c r="P298" s="20"/>
      <c r="Q298" s="21"/>
      <c r="R298" s="21"/>
      <c r="S298" s="21"/>
      <c r="T298" s="21"/>
    </row>
    <row r="299" spans="1:20" ht="12" customHeight="1" x14ac:dyDescent="0.25">
      <c r="A299" s="458"/>
      <c r="B299" s="459"/>
      <c r="C299" s="104" t="s">
        <v>30</v>
      </c>
      <c r="D299" s="105">
        <f>D304+D319+D329+D359</f>
        <v>102342390.17</v>
      </c>
      <c r="E299" s="105">
        <f>E304+E319+E329+E359</f>
        <v>32381026.619999997</v>
      </c>
      <c r="F299" s="105">
        <f t="shared" ref="F299:F302" si="38">E299/D299</f>
        <v>0.31639896787843408</v>
      </c>
      <c r="G299" s="460"/>
      <c r="H299" s="106" t="s">
        <v>31</v>
      </c>
      <c r="I299" s="104"/>
      <c r="J299" s="461"/>
      <c r="K299" s="461"/>
    </row>
    <row r="300" spans="1:20" ht="12" customHeight="1" x14ac:dyDescent="0.25">
      <c r="A300" s="458"/>
      <c r="B300" s="459"/>
      <c r="C300" s="104" t="s">
        <v>32</v>
      </c>
      <c r="D300" s="105">
        <f t="shared" ref="D300:E302" si="39">D305+D320+D330+D360</f>
        <v>36196035.950000003</v>
      </c>
      <c r="E300" s="105">
        <f t="shared" si="39"/>
        <v>11815987.039999999</v>
      </c>
      <c r="F300" s="105">
        <f t="shared" si="38"/>
        <v>0.32644422876367485</v>
      </c>
      <c r="G300" s="460"/>
      <c r="H300" s="106" t="s">
        <v>33</v>
      </c>
      <c r="I300" s="104"/>
      <c r="J300" s="461"/>
      <c r="K300" s="461"/>
    </row>
    <row r="301" spans="1:20" ht="12" customHeight="1" x14ac:dyDescent="0.25">
      <c r="A301" s="458"/>
      <c r="B301" s="459"/>
      <c r="C301" s="104" t="s">
        <v>34</v>
      </c>
      <c r="D301" s="105">
        <f t="shared" si="39"/>
        <v>24929935</v>
      </c>
      <c r="E301" s="105">
        <f t="shared" si="39"/>
        <v>16584786.959999999</v>
      </c>
      <c r="F301" s="105">
        <f t="shared" si="38"/>
        <v>0.6652559246544365</v>
      </c>
      <c r="G301" s="460"/>
      <c r="H301" s="106" t="s">
        <v>35</v>
      </c>
      <c r="I301" s="104"/>
      <c r="J301" s="461"/>
      <c r="K301" s="461"/>
    </row>
    <row r="302" spans="1:20" ht="12" customHeight="1" x14ac:dyDescent="0.25">
      <c r="A302" s="458"/>
      <c r="B302" s="459"/>
      <c r="C302" s="104" t="s">
        <v>36</v>
      </c>
      <c r="D302" s="105">
        <f t="shared" si="39"/>
        <v>41398470</v>
      </c>
      <c r="E302" s="105">
        <f t="shared" si="39"/>
        <v>14232016.560000001</v>
      </c>
      <c r="F302" s="105">
        <f t="shared" si="38"/>
        <v>0.3437812209001927</v>
      </c>
      <c r="G302" s="460"/>
      <c r="H302" s="106" t="s">
        <v>37</v>
      </c>
      <c r="I302" s="104"/>
      <c r="J302" s="461"/>
      <c r="K302" s="461"/>
    </row>
    <row r="303" spans="1:20" s="22" customFormat="1" ht="12" customHeight="1" x14ac:dyDescent="0.25">
      <c r="A303" s="453" t="s">
        <v>148</v>
      </c>
      <c r="B303" s="454" t="s">
        <v>149</v>
      </c>
      <c r="C303" s="107" t="s">
        <v>28</v>
      </c>
      <c r="D303" s="108">
        <f>D304+D305+D306+D307</f>
        <v>21690508.59</v>
      </c>
      <c r="E303" s="108">
        <f>E304+E305+E306+E307</f>
        <v>10684585.17</v>
      </c>
      <c r="F303" s="108">
        <f>E303/D303</f>
        <v>0.4925926529415694</v>
      </c>
      <c r="G303" s="455"/>
      <c r="H303" s="109" t="s">
        <v>39</v>
      </c>
      <c r="I303" s="107"/>
      <c r="J303" s="456"/>
      <c r="K303" s="456"/>
      <c r="L303" s="21">
        <f>'[1]01 07 2021'!H82+'[1]01 07 2021'!H89+'[1]01 07 2021'!H90+'[1]01 07 2021'!H92+'[1]01 07 2021'!H93+'[1]01 07 2021'!H91</f>
        <v>21540508.59</v>
      </c>
      <c r="M303" s="21">
        <f>'[1]01 07 2021'!I82+'[1]01 07 2021'!I89+'[1]01 07 2021'!I90+'[1]01 07 2021'!I92+'[1]01 07 2021'!I93+'[1]01 07 2021'!I91</f>
        <v>0</v>
      </c>
      <c r="N303" s="21">
        <f>'[1]01 07 2021'!J82+'[1]01 07 2021'!J89+'[1]01 07 2021'!J90+'[1]01 07 2021'!J92+'[1]01 07 2021'!J93+'[1]01 07 2021'!J91</f>
        <v>21540508.59</v>
      </c>
      <c r="O303" s="21">
        <f>'[1]01 07 2021'!K82+'[1]01 07 2021'!K89+'[1]01 07 2021'!K90+'[1]01 07 2021'!K92+'[1]01 07 2021'!K93+'[1]01 07 2021'!K91</f>
        <v>10581708.66</v>
      </c>
      <c r="P303" s="21">
        <f>'[1]01 07 2021'!L82+'[1]01 07 2021'!L89+'[1]01 07 2021'!L90+'[1]01 07 2021'!L92+'[1]01 07 2021'!L93+'[1]01 07 2021'!L91</f>
        <v>10958799.930000002</v>
      </c>
      <c r="Q303" s="21">
        <f>'[1]01 07 2021'!M82+'[1]01 07 2021'!M89+'[1]01 07 2021'!M90+'[1]01 07 2021'!M92+'[1]01 07 2021'!M93+'[1]01 07 2021'!M91</f>
        <v>10581708.66</v>
      </c>
      <c r="R303" s="21"/>
      <c r="S303" s="21"/>
      <c r="T303" s="21"/>
    </row>
    <row r="304" spans="1:20" ht="12" customHeight="1" x14ac:dyDescent="0.25">
      <c r="A304" s="453"/>
      <c r="B304" s="454"/>
      <c r="C304" s="110" t="s">
        <v>30</v>
      </c>
      <c r="D304" s="111">
        <f>D309+D314</f>
        <v>21509574.870000001</v>
      </c>
      <c r="E304" s="111">
        <f>E309+E314</f>
        <v>10566241.42</v>
      </c>
      <c r="F304" s="111">
        <f t="shared" ref="F304:F315" si="40">E304/D304</f>
        <v>0.4912343216386405</v>
      </c>
      <c r="G304" s="455"/>
      <c r="H304" s="112" t="s">
        <v>31</v>
      </c>
      <c r="I304" s="110"/>
      <c r="J304" s="456"/>
      <c r="K304" s="456"/>
    </row>
    <row r="305" spans="1:20" ht="12" customHeight="1" x14ac:dyDescent="0.25">
      <c r="A305" s="453"/>
      <c r="B305" s="454"/>
      <c r="C305" s="110" t="s">
        <v>32</v>
      </c>
      <c r="D305" s="111">
        <f t="shared" ref="D305:E307" si="41">D310+D315</f>
        <v>30933.72</v>
      </c>
      <c r="E305" s="111">
        <f t="shared" si="41"/>
        <v>15467.24</v>
      </c>
      <c r="F305" s="111">
        <f t="shared" si="40"/>
        <v>0.50001228432920453</v>
      </c>
      <c r="G305" s="455"/>
      <c r="H305" s="112" t="s">
        <v>33</v>
      </c>
      <c r="I305" s="110"/>
      <c r="J305" s="456"/>
      <c r="K305" s="456"/>
    </row>
    <row r="306" spans="1:20" ht="12" customHeight="1" x14ac:dyDescent="0.25">
      <c r="A306" s="453"/>
      <c r="B306" s="454"/>
      <c r="C306" s="110" t="s">
        <v>34</v>
      </c>
      <c r="D306" s="111">
        <f t="shared" si="41"/>
        <v>0</v>
      </c>
      <c r="E306" s="111">
        <f t="shared" si="41"/>
        <v>0</v>
      </c>
      <c r="F306" s="111">
        <v>0</v>
      </c>
      <c r="G306" s="455"/>
      <c r="H306" s="112" t="s">
        <v>35</v>
      </c>
      <c r="I306" s="110"/>
      <c r="J306" s="456"/>
      <c r="K306" s="456"/>
    </row>
    <row r="307" spans="1:20" ht="12" customHeight="1" x14ac:dyDescent="0.25">
      <c r="A307" s="453"/>
      <c r="B307" s="454"/>
      <c r="C307" s="110" t="s">
        <v>36</v>
      </c>
      <c r="D307" s="111">
        <f t="shared" si="41"/>
        <v>150000</v>
      </c>
      <c r="E307" s="111">
        <f t="shared" si="41"/>
        <v>102876.51</v>
      </c>
      <c r="F307" s="111">
        <f t="shared" si="40"/>
        <v>0.68584339999999999</v>
      </c>
      <c r="G307" s="455"/>
      <c r="H307" s="112" t="s">
        <v>37</v>
      </c>
      <c r="I307" s="110"/>
      <c r="J307" s="456"/>
      <c r="K307" s="456"/>
    </row>
    <row r="308" spans="1:20" s="22" customFormat="1" ht="12" customHeight="1" x14ac:dyDescent="0.25">
      <c r="A308" s="449" t="s">
        <v>150</v>
      </c>
      <c r="B308" s="450" t="s">
        <v>151</v>
      </c>
      <c r="C308" s="17" t="s">
        <v>28</v>
      </c>
      <c r="D308" s="18">
        <f>D309+D310+D311+D312</f>
        <v>21642797.300000001</v>
      </c>
      <c r="E308" s="18">
        <f>E309+E310+E311+E312</f>
        <v>10660664.43</v>
      </c>
      <c r="F308" s="18">
        <f t="shared" si="40"/>
        <v>0.49257331583473268</v>
      </c>
      <c r="G308" s="450" t="s">
        <v>48</v>
      </c>
      <c r="H308" s="450" t="s">
        <v>49</v>
      </c>
      <c r="I308" s="449" t="s">
        <v>50</v>
      </c>
      <c r="J308" s="451"/>
      <c r="K308" s="451"/>
      <c r="L308" s="20"/>
      <c r="M308" s="20"/>
      <c r="N308" s="20"/>
      <c r="O308" s="20"/>
      <c r="P308" s="20"/>
      <c r="Q308" s="21"/>
      <c r="R308" s="21"/>
      <c r="S308" s="21"/>
      <c r="T308" s="21"/>
    </row>
    <row r="309" spans="1:20" ht="12" customHeight="1" x14ac:dyDescent="0.25">
      <c r="A309" s="449"/>
      <c r="B309" s="450"/>
      <c r="C309" s="13" t="s">
        <v>30</v>
      </c>
      <c r="D309" s="15">
        <v>21492797.300000001</v>
      </c>
      <c r="E309" s="15">
        <v>10557787.92</v>
      </c>
      <c r="F309" s="15">
        <f t="shared" si="40"/>
        <v>0.49122446802213127</v>
      </c>
      <c r="G309" s="450"/>
      <c r="H309" s="450"/>
      <c r="I309" s="449"/>
      <c r="J309" s="451"/>
      <c r="K309" s="451"/>
    </row>
    <row r="310" spans="1:20" ht="12" customHeight="1" x14ac:dyDescent="0.25">
      <c r="A310" s="449"/>
      <c r="B310" s="450"/>
      <c r="C310" s="13" t="s">
        <v>32</v>
      </c>
      <c r="D310" s="15">
        <v>0</v>
      </c>
      <c r="E310" s="15">
        <v>0</v>
      </c>
      <c r="F310" s="15">
        <v>0</v>
      </c>
      <c r="G310" s="450"/>
      <c r="H310" s="450"/>
      <c r="I310" s="449"/>
      <c r="J310" s="451"/>
      <c r="K310" s="451"/>
    </row>
    <row r="311" spans="1:20" ht="12" customHeight="1" x14ac:dyDescent="0.25">
      <c r="A311" s="449"/>
      <c r="B311" s="450"/>
      <c r="C311" s="13" t="s">
        <v>34</v>
      </c>
      <c r="D311" s="15">
        <v>0</v>
      </c>
      <c r="E311" s="15">
        <v>0</v>
      </c>
      <c r="F311" s="15">
        <v>0</v>
      </c>
      <c r="G311" s="450"/>
      <c r="H311" s="450"/>
      <c r="I311" s="449"/>
      <c r="J311" s="451"/>
      <c r="K311" s="451"/>
    </row>
    <row r="312" spans="1:20" ht="12" customHeight="1" x14ac:dyDescent="0.25">
      <c r="A312" s="449"/>
      <c r="B312" s="450"/>
      <c r="C312" s="13" t="s">
        <v>36</v>
      </c>
      <c r="D312" s="15">
        <v>150000</v>
      </c>
      <c r="E312" s="33">
        <v>102876.51</v>
      </c>
      <c r="F312" s="15">
        <f t="shared" si="40"/>
        <v>0.68584339999999999</v>
      </c>
      <c r="G312" s="450"/>
      <c r="H312" s="450"/>
      <c r="I312" s="449"/>
      <c r="J312" s="451"/>
      <c r="K312" s="451"/>
    </row>
    <row r="313" spans="1:20" s="22" customFormat="1" ht="12" customHeight="1" x14ac:dyDescent="0.25">
      <c r="A313" s="449" t="s">
        <v>152</v>
      </c>
      <c r="B313" s="450" t="s">
        <v>89</v>
      </c>
      <c r="C313" s="17" t="s">
        <v>28</v>
      </c>
      <c r="D313" s="18">
        <f>D314+D315+D316+D317</f>
        <v>47711.29</v>
      </c>
      <c r="E313" s="18">
        <f>E314+E315+E316+E317</f>
        <v>23920.739999999998</v>
      </c>
      <c r="F313" s="18">
        <f t="shared" si="40"/>
        <v>0.50136435212713804</v>
      </c>
      <c r="G313" s="450" t="s">
        <v>48</v>
      </c>
      <c r="H313" s="450" t="s">
        <v>49</v>
      </c>
      <c r="I313" s="449" t="s">
        <v>50</v>
      </c>
      <c r="J313" s="451"/>
      <c r="K313" s="451"/>
      <c r="L313" s="20"/>
      <c r="M313" s="20"/>
      <c r="N313" s="20"/>
      <c r="O313" s="20"/>
      <c r="P313" s="20"/>
      <c r="Q313" s="21"/>
      <c r="R313" s="21"/>
      <c r="S313" s="21"/>
      <c r="T313" s="21"/>
    </row>
    <row r="314" spans="1:20" ht="12" customHeight="1" x14ac:dyDescent="0.25">
      <c r="A314" s="449"/>
      <c r="B314" s="450"/>
      <c r="C314" s="13" t="s">
        <v>30</v>
      </c>
      <c r="D314" s="15">
        <v>16777.57</v>
      </c>
      <c r="E314" s="15">
        <v>8453.5</v>
      </c>
      <c r="F314" s="15">
        <f t="shared" si="40"/>
        <v>0.50385723319884823</v>
      </c>
      <c r="G314" s="450"/>
      <c r="H314" s="450"/>
      <c r="I314" s="449"/>
      <c r="J314" s="451"/>
      <c r="K314" s="451"/>
    </row>
    <row r="315" spans="1:20" ht="12" customHeight="1" x14ac:dyDescent="0.25">
      <c r="A315" s="449"/>
      <c r="B315" s="450"/>
      <c r="C315" s="13" t="s">
        <v>32</v>
      </c>
      <c r="D315" s="15">
        <v>30933.72</v>
      </c>
      <c r="E315" s="15">
        <v>15467.24</v>
      </c>
      <c r="F315" s="15">
        <f t="shared" si="40"/>
        <v>0.50001228432920453</v>
      </c>
      <c r="G315" s="450"/>
      <c r="H315" s="450"/>
      <c r="I315" s="449"/>
      <c r="J315" s="451"/>
      <c r="K315" s="451"/>
    </row>
    <row r="316" spans="1:20" ht="12" customHeight="1" x14ac:dyDescent="0.25">
      <c r="A316" s="449"/>
      <c r="B316" s="450"/>
      <c r="C316" s="13" t="s">
        <v>34</v>
      </c>
      <c r="D316" s="15">
        <v>0</v>
      </c>
      <c r="E316" s="15">
        <v>0</v>
      </c>
      <c r="F316" s="15">
        <v>0</v>
      </c>
      <c r="G316" s="450"/>
      <c r="H316" s="450"/>
      <c r="I316" s="449"/>
      <c r="J316" s="451"/>
      <c r="K316" s="451"/>
    </row>
    <row r="317" spans="1:20" ht="12" customHeight="1" x14ac:dyDescent="0.25">
      <c r="A317" s="449"/>
      <c r="B317" s="450"/>
      <c r="C317" s="13" t="s">
        <v>36</v>
      </c>
      <c r="D317" s="15">
        <v>0</v>
      </c>
      <c r="E317" s="15">
        <v>0</v>
      </c>
      <c r="F317" s="15">
        <v>0</v>
      </c>
      <c r="G317" s="450"/>
      <c r="H317" s="450"/>
      <c r="I317" s="449"/>
      <c r="J317" s="451"/>
      <c r="K317" s="451"/>
    </row>
    <row r="318" spans="1:20" s="118" customFormat="1" ht="12" customHeight="1" x14ac:dyDescent="0.25">
      <c r="A318" s="443" t="s">
        <v>153</v>
      </c>
      <c r="B318" s="444" t="s">
        <v>154</v>
      </c>
      <c r="C318" s="113" t="s">
        <v>28</v>
      </c>
      <c r="D318" s="114">
        <f>D319+D320+D321+D322</f>
        <v>49450420.219999999</v>
      </c>
      <c r="E318" s="114">
        <f>E319+E320+E321+E322</f>
        <v>0</v>
      </c>
      <c r="F318" s="114">
        <f>E318/D318</f>
        <v>0</v>
      </c>
      <c r="G318" s="445"/>
      <c r="H318" s="115" t="s">
        <v>39</v>
      </c>
      <c r="I318" s="113"/>
      <c r="J318" s="446"/>
      <c r="K318" s="446"/>
      <c r="L318" s="116"/>
      <c r="M318" s="116"/>
      <c r="N318" s="116"/>
      <c r="O318" s="116"/>
      <c r="P318" s="116"/>
      <c r="Q318" s="117"/>
      <c r="R318" s="117"/>
      <c r="S318" s="117"/>
      <c r="T318" s="117"/>
    </row>
    <row r="319" spans="1:20" s="60" customFormat="1" ht="12" customHeight="1" x14ac:dyDescent="0.25">
      <c r="A319" s="443"/>
      <c r="B319" s="444"/>
      <c r="C319" s="119" t="s">
        <v>30</v>
      </c>
      <c r="D319" s="120">
        <f>D324</f>
        <v>46720420.219999999</v>
      </c>
      <c r="E319" s="120">
        <f>E324</f>
        <v>0</v>
      </c>
      <c r="F319" s="120">
        <f t="shared" ref="F319:F327" si="42">E319/D319</f>
        <v>0</v>
      </c>
      <c r="G319" s="445"/>
      <c r="H319" s="121" t="s">
        <v>31</v>
      </c>
      <c r="I319" s="119"/>
      <c r="J319" s="446"/>
      <c r="K319" s="446"/>
      <c r="L319" s="58"/>
      <c r="M319" s="58"/>
      <c r="N319" s="58"/>
      <c r="O319" s="58"/>
      <c r="P319" s="58"/>
      <c r="Q319" s="59"/>
      <c r="R319" s="59"/>
      <c r="S319" s="59"/>
      <c r="T319" s="59"/>
    </row>
    <row r="320" spans="1:20" s="60" customFormat="1" ht="12" customHeight="1" x14ac:dyDescent="0.25">
      <c r="A320" s="443"/>
      <c r="B320" s="444"/>
      <c r="C320" s="119" t="s">
        <v>32</v>
      </c>
      <c r="D320" s="120">
        <f t="shared" ref="D320:E322" si="43">D325</f>
        <v>0</v>
      </c>
      <c r="E320" s="120">
        <f t="shared" si="43"/>
        <v>0</v>
      </c>
      <c r="F320" s="120">
        <v>0</v>
      </c>
      <c r="G320" s="445"/>
      <c r="H320" s="121" t="s">
        <v>33</v>
      </c>
      <c r="I320" s="119"/>
      <c r="J320" s="446"/>
      <c r="K320" s="446"/>
      <c r="L320" s="58"/>
      <c r="M320" s="58"/>
      <c r="N320" s="58"/>
      <c r="O320" s="58"/>
      <c r="P320" s="58"/>
      <c r="Q320" s="59"/>
      <c r="R320" s="59"/>
      <c r="S320" s="59"/>
      <c r="T320" s="59"/>
    </row>
    <row r="321" spans="1:20" s="60" customFormat="1" ht="12" customHeight="1" x14ac:dyDescent="0.25">
      <c r="A321" s="443"/>
      <c r="B321" s="444"/>
      <c r="C321" s="119" t="s">
        <v>34</v>
      </c>
      <c r="D321" s="120">
        <f t="shared" si="43"/>
        <v>0</v>
      </c>
      <c r="E321" s="120">
        <f t="shared" si="43"/>
        <v>0</v>
      </c>
      <c r="F321" s="120">
        <v>0</v>
      </c>
      <c r="G321" s="445"/>
      <c r="H321" s="121" t="s">
        <v>35</v>
      </c>
      <c r="I321" s="119"/>
      <c r="J321" s="446"/>
      <c r="K321" s="446"/>
      <c r="L321" s="58"/>
      <c r="M321" s="58"/>
      <c r="N321" s="58"/>
      <c r="O321" s="58"/>
      <c r="P321" s="58"/>
      <c r="Q321" s="59"/>
      <c r="R321" s="59"/>
      <c r="S321" s="59"/>
      <c r="T321" s="59"/>
    </row>
    <row r="322" spans="1:20" s="60" customFormat="1" ht="12" customHeight="1" x14ac:dyDescent="0.25">
      <c r="A322" s="443"/>
      <c r="B322" s="444"/>
      <c r="C322" s="119" t="s">
        <v>36</v>
      </c>
      <c r="D322" s="120">
        <f t="shared" si="43"/>
        <v>2730000</v>
      </c>
      <c r="E322" s="120">
        <f t="shared" si="43"/>
        <v>0</v>
      </c>
      <c r="F322" s="120">
        <f t="shared" si="42"/>
        <v>0</v>
      </c>
      <c r="G322" s="445"/>
      <c r="H322" s="121" t="s">
        <v>37</v>
      </c>
      <c r="I322" s="119"/>
      <c r="J322" s="446"/>
      <c r="K322" s="446"/>
      <c r="L322" s="58"/>
      <c r="M322" s="58"/>
      <c r="N322" s="58"/>
      <c r="O322" s="58"/>
      <c r="P322" s="58"/>
      <c r="Q322" s="59"/>
      <c r="R322" s="59"/>
      <c r="S322" s="59"/>
      <c r="T322" s="59"/>
    </row>
    <row r="323" spans="1:20" s="118" customFormat="1" ht="12" customHeight="1" x14ac:dyDescent="0.25">
      <c r="A323" s="447" t="s">
        <v>155</v>
      </c>
      <c r="B323" s="448" t="s">
        <v>156</v>
      </c>
      <c r="C323" s="122" t="s">
        <v>28</v>
      </c>
      <c r="D323" s="123">
        <f>D324+D325+D326+D327</f>
        <v>49450420.219999999</v>
      </c>
      <c r="E323" s="123">
        <f>E324+E325+E326+E327</f>
        <v>0</v>
      </c>
      <c r="F323" s="123">
        <f t="shared" si="42"/>
        <v>0</v>
      </c>
      <c r="G323" s="448" t="s">
        <v>48</v>
      </c>
      <c r="H323" s="448" t="s">
        <v>49</v>
      </c>
      <c r="I323" s="447" t="s">
        <v>50</v>
      </c>
      <c r="J323" s="452"/>
      <c r="K323" s="452"/>
      <c r="L323" s="116"/>
      <c r="M323" s="116"/>
      <c r="N323" s="116"/>
      <c r="O323" s="116"/>
      <c r="P323" s="116"/>
      <c r="Q323" s="117"/>
      <c r="R323" s="117"/>
      <c r="S323" s="117"/>
      <c r="T323" s="117"/>
    </row>
    <row r="324" spans="1:20" s="60" customFormat="1" ht="12" customHeight="1" x14ac:dyDescent="0.25">
      <c r="A324" s="447"/>
      <c r="B324" s="448"/>
      <c r="C324" s="124" t="s">
        <v>30</v>
      </c>
      <c r="D324" s="125">
        <f>[1]табл.8!H355</f>
        <v>46720420.219999999</v>
      </c>
      <c r="E324" s="125"/>
      <c r="F324" s="125">
        <f t="shared" si="42"/>
        <v>0</v>
      </c>
      <c r="G324" s="448"/>
      <c r="H324" s="448"/>
      <c r="I324" s="447"/>
      <c r="J324" s="452"/>
      <c r="K324" s="452"/>
      <c r="L324" s="58"/>
      <c r="M324" s="58"/>
      <c r="N324" s="58"/>
      <c r="O324" s="58"/>
      <c r="P324" s="58"/>
      <c r="Q324" s="59"/>
      <c r="R324" s="59"/>
      <c r="S324" s="59"/>
      <c r="T324" s="59"/>
    </row>
    <row r="325" spans="1:20" s="60" customFormat="1" ht="12" customHeight="1" x14ac:dyDescent="0.25">
      <c r="A325" s="447"/>
      <c r="B325" s="448"/>
      <c r="C325" s="124" t="s">
        <v>32</v>
      </c>
      <c r="D325" s="125">
        <f>[1]табл.8!F355</f>
        <v>0</v>
      </c>
      <c r="E325" s="125">
        <v>0</v>
      </c>
      <c r="F325" s="125">
        <v>0</v>
      </c>
      <c r="G325" s="448"/>
      <c r="H325" s="448"/>
      <c r="I325" s="447"/>
      <c r="J325" s="452"/>
      <c r="K325" s="452"/>
      <c r="L325" s="58"/>
      <c r="M325" s="58"/>
      <c r="N325" s="58"/>
      <c r="O325" s="58"/>
      <c r="P325" s="58"/>
      <c r="Q325" s="59"/>
      <c r="R325" s="59"/>
      <c r="S325" s="59"/>
      <c r="T325" s="59"/>
    </row>
    <row r="326" spans="1:20" s="60" customFormat="1" ht="12" customHeight="1" x14ac:dyDescent="0.25">
      <c r="A326" s="447"/>
      <c r="B326" s="448"/>
      <c r="C326" s="124" t="s">
        <v>34</v>
      </c>
      <c r="D326" s="125">
        <f>[1]табл.8!G355</f>
        <v>0</v>
      </c>
      <c r="E326" s="125">
        <v>0</v>
      </c>
      <c r="F326" s="125">
        <v>0</v>
      </c>
      <c r="G326" s="448"/>
      <c r="H326" s="448"/>
      <c r="I326" s="447"/>
      <c r="J326" s="452"/>
      <c r="K326" s="452"/>
      <c r="L326" s="58"/>
      <c r="M326" s="58"/>
      <c r="N326" s="58"/>
      <c r="O326" s="58"/>
      <c r="P326" s="58"/>
      <c r="Q326" s="59"/>
      <c r="R326" s="59"/>
      <c r="S326" s="59"/>
      <c r="T326" s="59"/>
    </row>
    <row r="327" spans="1:20" s="60" customFormat="1" ht="12" customHeight="1" x14ac:dyDescent="0.25">
      <c r="A327" s="447"/>
      <c r="B327" s="448"/>
      <c r="C327" s="124" t="s">
        <v>36</v>
      </c>
      <c r="D327" s="125">
        <f>[1]табл.8!I355</f>
        <v>2730000</v>
      </c>
      <c r="E327" s="125"/>
      <c r="F327" s="125">
        <f t="shared" si="42"/>
        <v>0</v>
      </c>
      <c r="G327" s="448"/>
      <c r="H327" s="448"/>
      <c r="I327" s="447"/>
      <c r="J327" s="452"/>
      <c r="K327" s="452"/>
      <c r="L327" s="58"/>
      <c r="M327" s="58"/>
      <c r="N327" s="58"/>
      <c r="O327" s="58"/>
      <c r="P327" s="58"/>
      <c r="Q327" s="59"/>
      <c r="R327" s="59"/>
      <c r="S327" s="59"/>
      <c r="T327" s="59"/>
    </row>
    <row r="328" spans="1:20" s="70" customFormat="1" ht="12" customHeight="1" x14ac:dyDescent="0.25">
      <c r="A328" s="436" t="s">
        <v>157</v>
      </c>
      <c r="B328" s="437" t="s">
        <v>158</v>
      </c>
      <c r="C328" s="126" t="s">
        <v>28</v>
      </c>
      <c r="D328" s="127">
        <f>D329+D330+D331+D332</f>
        <v>119066318.19</v>
      </c>
      <c r="E328" s="127">
        <f>E329+E330+E331+E332</f>
        <v>56320169.429999992</v>
      </c>
      <c r="F328" s="127">
        <f>E328/D328</f>
        <v>0.4730151254037025</v>
      </c>
      <c r="G328" s="438"/>
      <c r="H328" s="128" t="s">
        <v>39</v>
      </c>
      <c r="I328" s="126"/>
      <c r="J328" s="439"/>
      <c r="K328" s="439"/>
      <c r="L328" s="68"/>
      <c r="M328" s="68"/>
      <c r="N328" s="68"/>
      <c r="O328" s="68"/>
      <c r="P328" s="68"/>
      <c r="Q328" s="69"/>
      <c r="R328" s="69"/>
      <c r="S328" s="69"/>
      <c r="T328" s="69"/>
    </row>
    <row r="329" spans="1:20" s="76" customFormat="1" ht="12" customHeight="1" x14ac:dyDescent="0.25">
      <c r="A329" s="436"/>
      <c r="B329" s="437"/>
      <c r="C329" s="129" t="s">
        <v>30</v>
      </c>
      <c r="D329" s="130">
        <f>D334+D339+D344+D349+D354</f>
        <v>27032180.959999997</v>
      </c>
      <c r="E329" s="130">
        <f>E334+E339+E344+E349+E354</f>
        <v>18865386.199999999</v>
      </c>
      <c r="F329" s="130">
        <f t="shared" ref="F329:F350" si="44">E329/D329</f>
        <v>0.69788620562711712</v>
      </c>
      <c r="G329" s="438"/>
      <c r="H329" s="131" t="s">
        <v>31</v>
      </c>
      <c r="I329" s="129"/>
      <c r="J329" s="439"/>
      <c r="K329" s="439"/>
      <c r="L329" s="74"/>
      <c r="M329" s="74"/>
      <c r="N329" s="74"/>
      <c r="O329" s="74"/>
      <c r="P329" s="74"/>
      <c r="Q329" s="75"/>
      <c r="R329" s="75"/>
      <c r="S329" s="75"/>
      <c r="T329" s="75"/>
    </row>
    <row r="330" spans="1:20" s="76" customFormat="1" ht="12" customHeight="1" x14ac:dyDescent="0.25">
      <c r="A330" s="436"/>
      <c r="B330" s="437"/>
      <c r="C330" s="129" t="s">
        <v>32</v>
      </c>
      <c r="D330" s="130">
        <f t="shared" ref="D330:E332" si="45">D335+D340+D345+D350+D355</f>
        <v>32904202.23</v>
      </c>
      <c r="E330" s="130">
        <f t="shared" si="45"/>
        <v>9526294.2199999988</v>
      </c>
      <c r="F330" s="130">
        <f t="shared" si="44"/>
        <v>0.28951603668769449</v>
      </c>
      <c r="G330" s="438"/>
      <c r="H330" s="131" t="s">
        <v>33</v>
      </c>
      <c r="I330" s="129"/>
      <c r="J330" s="439"/>
      <c r="K330" s="439"/>
      <c r="L330" s="74"/>
      <c r="M330" s="74"/>
      <c r="N330" s="74"/>
      <c r="O330" s="74"/>
      <c r="P330" s="74"/>
      <c r="Q330" s="75"/>
      <c r="R330" s="75"/>
      <c r="S330" s="75"/>
      <c r="T330" s="75"/>
    </row>
    <row r="331" spans="1:20" s="76" customFormat="1" ht="12" customHeight="1" x14ac:dyDescent="0.25">
      <c r="A331" s="436"/>
      <c r="B331" s="437"/>
      <c r="C331" s="129" t="s">
        <v>34</v>
      </c>
      <c r="D331" s="130">
        <f t="shared" si="45"/>
        <v>24929935</v>
      </c>
      <c r="E331" s="130">
        <f t="shared" si="45"/>
        <v>16584786.959999999</v>
      </c>
      <c r="F331" s="130">
        <f t="shared" si="44"/>
        <v>0.6652559246544365</v>
      </c>
      <c r="G331" s="438"/>
      <c r="H331" s="131" t="s">
        <v>35</v>
      </c>
      <c r="I331" s="129"/>
      <c r="J331" s="439"/>
      <c r="K331" s="439"/>
      <c r="L331" s="74"/>
      <c r="M331" s="74"/>
      <c r="N331" s="74"/>
      <c r="O331" s="74"/>
      <c r="P331" s="74"/>
      <c r="Q331" s="75"/>
      <c r="R331" s="75"/>
      <c r="S331" s="75"/>
      <c r="T331" s="75"/>
    </row>
    <row r="332" spans="1:20" s="76" customFormat="1" ht="12" customHeight="1" x14ac:dyDescent="0.25">
      <c r="A332" s="436"/>
      <c r="B332" s="437"/>
      <c r="C332" s="129" t="s">
        <v>36</v>
      </c>
      <c r="D332" s="130">
        <f t="shared" si="45"/>
        <v>34200000</v>
      </c>
      <c r="E332" s="130">
        <f t="shared" si="45"/>
        <v>11343702.050000001</v>
      </c>
      <c r="F332" s="130">
        <f t="shared" si="44"/>
        <v>0.33168719444444444</v>
      </c>
      <c r="G332" s="438"/>
      <c r="H332" s="131" t="s">
        <v>37</v>
      </c>
      <c r="I332" s="129"/>
      <c r="J332" s="439"/>
      <c r="K332" s="439"/>
      <c r="L332" s="74"/>
      <c r="M332" s="74"/>
      <c r="N332" s="74"/>
      <c r="O332" s="74"/>
      <c r="P332" s="74"/>
      <c r="Q332" s="75"/>
      <c r="R332" s="75"/>
      <c r="S332" s="75"/>
      <c r="T332" s="75"/>
    </row>
    <row r="333" spans="1:20" s="70" customFormat="1" ht="12" customHeight="1" x14ac:dyDescent="0.25">
      <c r="A333" s="440" t="s">
        <v>159</v>
      </c>
      <c r="B333" s="441" t="s">
        <v>160</v>
      </c>
      <c r="C333" s="77" t="s">
        <v>28</v>
      </c>
      <c r="D333" s="78">
        <f>D334+D335+D336+D337</f>
        <v>6425563.1000000006</v>
      </c>
      <c r="E333" s="78">
        <f>E334+E335+E336+E337</f>
        <v>3473927.12</v>
      </c>
      <c r="F333" s="78">
        <f t="shared" si="44"/>
        <v>0.54064166298514749</v>
      </c>
      <c r="G333" s="441" t="s">
        <v>48</v>
      </c>
      <c r="H333" s="441" t="s">
        <v>49</v>
      </c>
      <c r="I333" s="440" t="s">
        <v>50</v>
      </c>
      <c r="J333" s="434"/>
      <c r="K333" s="434"/>
      <c r="L333" s="68"/>
      <c r="M333" s="68"/>
      <c r="N333" s="68"/>
      <c r="O333" s="68"/>
      <c r="P333" s="68"/>
      <c r="Q333" s="69"/>
      <c r="R333" s="69"/>
      <c r="S333" s="69"/>
      <c r="T333" s="69"/>
    </row>
    <row r="334" spans="1:20" s="76" customFormat="1" ht="12" customHeight="1" x14ac:dyDescent="0.25">
      <c r="A334" s="440"/>
      <c r="B334" s="441"/>
      <c r="C334" s="79" t="s">
        <v>30</v>
      </c>
      <c r="D334" s="80">
        <v>4450063.1000000006</v>
      </c>
      <c r="E334" s="80">
        <v>2505658.7000000002</v>
      </c>
      <c r="F334" s="80">
        <f t="shared" si="44"/>
        <v>0.56306138670258399</v>
      </c>
      <c r="G334" s="441"/>
      <c r="H334" s="441"/>
      <c r="I334" s="440"/>
      <c r="J334" s="434"/>
      <c r="K334" s="434"/>
      <c r="L334" s="74"/>
      <c r="M334" s="74"/>
      <c r="N334" s="74"/>
      <c r="O334" s="74"/>
      <c r="P334" s="74"/>
      <c r="Q334" s="75"/>
      <c r="R334" s="75"/>
      <c r="S334" s="75"/>
      <c r="T334" s="75"/>
    </row>
    <row r="335" spans="1:20" s="76" customFormat="1" ht="12" customHeight="1" x14ac:dyDescent="0.25">
      <c r="A335" s="440"/>
      <c r="B335" s="441"/>
      <c r="C335" s="79" t="s">
        <v>32</v>
      </c>
      <c r="D335" s="80">
        <v>1975500</v>
      </c>
      <c r="E335" s="80">
        <v>968268.42</v>
      </c>
      <c r="F335" s="80">
        <f t="shared" si="44"/>
        <v>0.49013840546697041</v>
      </c>
      <c r="G335" s="441"/>
      <c r="H335" s="441"/>
      <c r="I335" s="440"/>
      <c r="J335" s="434"/>
      <c r="K335" s="434"/>
      <c r="L335" s="74"/>
      <c r="M335" s="74"/>
      <c r="N335" s="74"/>
      <c r="O335" s="74"/>
      <c r="P335" s="74"/>
      <c r="Q335" s="75"/>
      <c r="R335" s="75"/>
      <c r="S335" s="75"/>
      <c r="T335" s="75"/>
    </row>
    <row r="336" spans="1:20" s="76" customFormat="1" ht="12" customHeight="1" x14ac:dyDescent="0.25">
      <c r="A336" s="440"/>
      <c r="B336" s="441"/>
      <c r="C336" s="79" t="s">
        <v>34</v>
      </c>
      <c r="D336" s="80">
        <v>0</v>
      </c>
      <c r="E336" s="80">
        <v>0</v>
      </c>
      <c r="F336" s="80">
        <v>0</v>
      </c>
      <c r="G336" s="441"/>
      <c r="H336" s="441"/>
      <c r="I336" s="440"/>
      <c r="J336" s="434"/>
      <c r="K336" s="434"/>
      <c r="L336" s="74"/>
      <c r="M336" s="74"/>
      <c r="N336" s="74"/>
      <c r="O336" s="74"/>
      <c r="P336" s="74"/>
      <c r="Q336" s="75"/>
      <c r="R336" s="75"/>
      <c r="S336" s="75"/>
      <c r="T336" s="75"/>
    </row>
    <row r="337" spans="1:20" s="76" customFormat="1" ht="12" customHeight="1" x14ac:dyDescent="0.25">
      <c r="A337" s="440"/>
      <c r="B337" s="441"/>
      <c r="C337" s="79" t="s">
        <v>36</v>
      </c>
      <c r="D337" s="80">
        <v>0</v>
      </c>
      <c r="E337" s="80">
        <v>0</v>
      </c>
      <c r="F337" s="80">
        <v>0</v>
      </c>
      <c r="G337" s="441"/>
      <c r="H337" s="441"/>
      <c r="I337" s="440"/>
      <c r="J337" s="434"/>
      <c r="K337" s="434"/>
      <c r="L337" s="74"/>
      <c r="M337" s="74"/>
      <c r="N337" s="74"/>
      <c r="O337" s="74"/>
      <c r="P337" s="74"/>
      <c r="Q337" s="75"/>
      <c r="R337" s="75"/>
      <c r="S337" s="75"/>
      <c r="T337" s="75"/>
    </row>
    <row r="338" spans="1:20" s="70" customFormat="1" ht="12.75" customHeight="1" x14ac:dyDescent="0.25">
      <c r="A338" s="440" t="s">
        <v>161</v>
      </c>
      <c r="B338" s="441" t="s">
        <v>162</v>
      </c>
      <c r="C338" s="77" t="s">
        <v>28</v>
      </c>
      <c r="D338" s="78">
        <f>D339+D340+D341+D342</f>
        <v>15165700</v>
      </c>
      <c r="E338" s="78">
        <f>E339+E340+E341+E342</f>
        <v>6515834.0499999998</v>
      </c>
      <c r="F338" s="78">
        <f t="shared" si="44"/>
        <v>0.42964281569594542</v>
      </c>
      <c r="G338" s="441" t="s">
        <v>48</v>
      </c>
      <c r="H338" s="441" t="s">
        <v>49</v>
      </c>
      <c r="I338" s="440" t="s">
        <v>50</v>
      </c>
      <c r="J338" s="434"/>
      <c r="K338" s="434"/>
      <c r="L338" s="68"/>
      <c r="M338" s="68"/>
      <c r="N338" s="68"/>
      <c r="O338" s="68"/>
      <c r="P338" s="68"/>
      <c r="Q338" s="69"/>
      <c r="R338" s="69"/>
      <c r="S338" s="69"/>
      <c r="T338" s="69"/>
    </row>
    <row r="339" spans="1:20" s="76" customFormat="1" ht="12" customHeight="1" x14ac:dyDescent="0.25">
      <c r="A339" s="440"/>
      <c r="B339" s="441"/>
      <c r="C339" s="79" t="s">
        <v>30</v>
      </c>
      <c r="D339" s="80">
        <v>0</v>
      </c>
      <c r="E339" s="80">
        <v>0</v>
      </c>
      <c r="F339" s="80">
        <v>0</v>
      </c>
      <c r="G339" s="441"/>
      <c r="H339" s="441"/>
      <c r="I339" s="440"/>
      <c r="J339" s="434"/>
      <c r="K339" s="434"/>
      <c r="L339" s="74"/>
      <c r="M339" s="74"/>
      <c r="N339" s="74"/>
      <c r="O339" s="74"/>
      <c r="P339" s="74"/>
      <c r="Q339" s="75"/>
      <c r="R339" s="75"/>
      <c r="S339" s="75"/>
      <c r="T339" s="75"/>
    </row>
    <row r="340" spans="1:20" s="76" customFormat="1" ht="12" customHeight="1" x14ac:dyDescent="0.25">
      <c r="A340" s="440"/>
      <c r="B340" s="441"/>
      <c r="C340" s="79" t="s">
        <v>32</v>
      </c>
      <c r="D340" s="80">
        <v>15165700</v>
      </c>
      <c r="E340" s="80">
        <v>6515834.0499999998</v>
      </c>
      <c r="F340" s="80">
        <f t="shared" si="44"/>
        <v>0.42964281569594542</v>
      </c>
      <c r="G340" s="441"/>
      <c r="H340" s="441"/>
      <c r="I340" s="440"/>
      <c r="J340" s="434"/>
      <c r="K340" s="434"/>
      <c r="L340" s="74"/>
      <c r="M340" s="74"/>
      <c r="N340" s="74"/>
      <c r="O340" s="74"/>
      <c r="P340" s="74"/>
      <c r="Q340" s="75"/>
      <c r="R340" s="75"/>
      <c r="S340" s="75"/>
      <c r="T340" s="75"/>
    </row>
    <row r="341" spans="1:20" s="76" customFormat="1" ht="12" customHeight="1" x14ac:dyDescent="0.25">
      <c r="A341" s="440"/>
      <c r="B341" s="441"/>
      <c r="C341" s="79" t="s">
        <v>34</v>
      </c>
      <c r="D341" s="80">
        <v>0</v>
      </c>
      <c r="E341" s="80">
        <v>0</v>
      </c>
      <c r="F341" s="80">
        <v>0</v>
      </c>
      <c r="G341" s="441"/>
      <c r="H341" s="441"/>
      <c r="I341" s="440"/>
      <c r="J341" s="434"/>
      <c r="K341" s="434"/>
      <c r="L341" s="74"/>
      <c r="M341" s="74"/>
      <c r="N341" s="74"/>
      <c r="O341" s="74"/>
      <c r="P341" s="74"/>
      <c r="Q341" s="75"/>
      <c r="R341" s="75"/>
      <c r="S341" s="75"/>
      <c r="T341" s="75"/>
    </row>
    <row r="342" spans="1:20" s="76" customFormat="1" ht="12" customHeight="1" x14ac:dyDescent="0.25">
      <c r="A342" s="440"/>
      <c r="B342" s="441"/>
      <c r="C342" s="79" t="s">
        <v>36</v>
      </c>
      <c r="D342" s="80">
        <v>0</v>
      </c>
      <c r="E342" s="80">
        <v>0</v>
      </c>
      <c r="F342" s="80">
        <v>0</v>
      </c>
      <c r="G342" s="441"/>
      <c r="H342" s="441"/>
      <c r="I342" s="440"/>
      <c r="J342" s="434"/>
      <c r="K342" s="434"/>
      <c r="L342" s="74"/>
      <c r="M342" s="74"/>
      <c r="N342" s="74"/>
      <c r="O342" s="74"/>
      <c r="P342" s="74"/>
      <c r="Q342" s="75"/>
      <c r="R342" s="75"/>
      <c r="S342" s="75"/>
      <c r="T342" s="75"/>
    </row>
    <row r="343" spans="1:20" s="70" customFormat="1" ht="12" customHeight="1" x14ac:dyDescent="0.25">
      <c r="A343" s="440" t="s">
        <v>163</v>
      </c>
      <c r="B343" s="441" t="s">
        <v>164</v>
      </c>
      <c r="C343" s="77" t="s">
        <v>28</v>
      </c>
      <c r="D343" s="78">
        <f>D344+D345+D346+D347</f>
        <v>53646485.079999998</v>
      </c>
      <c r="E343" s="78">
        <f>E344+E345+E346+E347</f>
        <v>26207897.050000001</v>
      </c>
      <c r="F343" s="78">
        <f t="shared" si="44"/>
        <v>0.48852962148251899</v>
      </c>
      <c r="G343" s="442"/>
      <c r="H343" s="81" t="s">
        <v>39</v>
      </c>
      <c r="I343" s="77"/>
      <c r="J343" s="434"/>
      <c r="K343" s="434"/>
      <c r="L343" s="68"/>
      <c r="M343" s="68"/>
      <c r="N343" s="68"/>
      <c r="O343" s="68"/>
      <c r="P343" s="68"/>
      <c r="Q343" s="69"/>
      <c r="R343" s="69"/>
      <c r="S343" s="69"/>
      <c r="T343" s="69"/>
    </row>
    <row r="344" spans="1:20" s="76" customFormat="1" ht="12" customHeight="1" x14ac:dyDescent="0.25">
      <c r="A344" s="440"/>
      <c r="B344" s="441"/>
      <c r="C344" s="79" t="s">
        <v>30</v>
      </c>
      <c r="D344" s="80">
        <v>19446485.079999998</v>
      </c>
      <c r="E344" s="80">
        <v>14864195</v>
      </c>
      <c r="F344" s="80">
        <f t="shared" si="44"/>
        <v>0.76436409658870863</v>
      </c>
      <c r="G344" s="442"/>
      <c r="H344" s="82" t="s">
        <v>31</v>
      </c>
      <c r="I344" s="79"/>
      <c r="J344" s="434"/>
      <c r="K344" s="434"/>
      <c r="L344" s="74"/>
      <c r="M344" s="74"/>
      <c r="N344" s="74"/>
      <c r="O344" s="74"/>
      <c r="P344" s="74"/>
      <c r="Q344" s="75"/>
      <c r="R344" s="75"/>
      <c r="S344" s="75"/>
      <c r="T344" s="75"/>
    </row>
    <row r="345" spans="1:20" s="76" customFormat="1" ht="12" customHeight="1" x14ac:dyDescent="0.25">
      <c r="A345" s="440"/>
      <c r="B345" s="441"/>
      <c r="C345" s="79" t="s">
        <v>32</v>
      </c>
      <c r="D345" s="80">
        <v>0</v>
      </c>
      <c r="E345" s="80">
        <v>0</v>
      </c>
      <c r="F345" s="80">
        <v>0</v>
      </c>
      <c r="G345" s="442"/>
      <c r="H345" s="82" t="s">
        <v>33</v>
      </c>
      <c r="I345" s="79"/>
      <c r="J345" s="434"/>
      <c r="K345" s="434"/>
      <c r="L345" s="74"/>
      <c r="M345" s="74"/>
      <c r="N345" s="74"/>
      <c r="O345" s="74"/>
      <c r="P345" s="74"/>
      <c r="Q345" s="75"/>
      <c r="R345" s="75"/>
      <c r="S345" s="75"/>
      <c r="T345" s="75"/>
    </row>
    <row r="346" spans="1:20" s="76" customFormat="1" ht="12" customHeight="1" x14ac:dyDescent="0.25">
      <c r="A346" s="440"/>
      <c r="B346" s="441"/>
      <c r="C346" s="79" t="s">
        <v>34</v>
      </c>
      <c r="D346" s="80">
        <v>0</v>
      </c>
      <c r="E346" s="80">
        <v>0</v>
      </c>
      <c r="F346" s="80">
        <v>0</v>
      </c>
      <c r="G346" s="442"/>
      <c r="H346" s="82" t="s">
        <v>35</v>
      </c>
      <c r="I346" s="79"/>
      <c r="J346" s="434"/>
      <c r="K346" s="434"/>
      <c r="L346" s="74"/>
      <c r="M346" s="74"/>
      <c r="N346" s="74"/>
      <c r="O346" s="74"/>
      <c r="P346" s="74"/>
      <c r="Q346" s="75"/>
      <c r="R346" s="75"/>
      <c r="S346" s="75"/>
      <c r="T346" s="75"/>
    </row>
    <row r="347" spans="1:20" s="76" customFormat="1" ht="12" customHeight="1" x14ac:dyDescent="0.25">
      <c r="A347" s="440"/>
      <c r="B347" s="441"/>
      <c r="C347" s="79" t="s">
        <v>36</v>
      </c>
      <c r="D347" s="80">
        <v>34200000</v>
      </c>
      <c r="E347" s="132">
        <v>11343702.050000001</v>
      </c>
      <c r="F347" s="80">
        <f t="shared" si="44"/>
        <v>0.33168719444444444</v>
      </c>
      <c r="G347" s="442"/>
      <c r="H347" s="82" t="s">
        <v>37</v>
      </c>
      <c r="I347" s="79"/>
      <c r="J347" s="434"/>
      <c r="K347" s="434"/>
      <c r="L347" s="74"/>
      <c r="M347" s="74"/>
      <c r="N347" s="74"/>
      <c r="O347" s="74"/>
      <c r="P347" s="74"/>
      <c r="Q347" s="75"/>
      <c r="R347" s="75"/>
      <c r="S347" s="75"/>
      <c r="T347" s="75"/>
    </row>
    <row r="348" spans="1:20" s="70" customFormat="1" ht="12" customHeight="1" x14ac:dyDescent="0.25">
      <c r="A348" s="440" t="s">
        <v>165</v>
      </c>
      <c r="B348" s="441" t="s">
        <v>166</v>
      </c>
      <c r="C348" s="77" t="s">
        <v>28</v>
      </c>
      <c r="D348" s="78">
        <f>D349+D350+D351+D352</f>
        <v>3451034.1300000004</v>
      </c>
      <c r="E348" s="78">
        <f>E349+E350+E351+E352</f>
        <v>1700826.26</v>
      </c>
      <c r="F348" s="78">
        <f t="shared" si="44"/>
        <v>0.4928453895064781</v>
      </c>
      <c r="G348" s="441" t="s">
        <v>48</v>
      </c>
      <c r="H348" s="441" t="s">
        <v>49</v>
      </c>
      <c r="I348" s="440" t="s">
        <v>50</v>
      </c>
      <c r="J348" s="434"/>
      <c r="K348" s="434"/>
      <c r="L348" s="68"/>
      <c r="M348" s="68"/>
      <c r="N348" s="68"/>
      <c r="O348" s="68"/>
      <c r="P348" s="68"/>
      <c r="Q348" s="69"/>
      <c r="R348" s="69"/>
      <c r="S348" s="69"/>
      <c r="T348" s="69"/>
    </row>
    <row r="349" spans="1:20" s="76" customFormat="1" ht="12" customHeight="1" x14ac:dyDescent="0.25">
      <c r="A349" s="440"/>
      <c r="B349" s="441"/>
      <c r="C349" s="79" t="s">
        <v>30</v>
      </c>
      <c r="D349" s="80">
        <v>2328081.9000000004</v>
      </c>
      <c r="E349" s="80">
        <v>1127584.51</v>
      </c>
      <c r="F349" s="80">
        <f t="shared" si="44"/>
        <v>0.48434056808740267</v>
      </c>
      <c r="G349" s="441"/>
      <c r="H349" s="441"/>
      <c r="I349" s="440"/>
      <c r="J349" s="434"/>
      <c r="K349" s="434"/>
      <c r="L349" s="74"/>
      <c r="M349" s="74"/>
      <c r="N349" s="74"/>
      <c r="O349" s="74"/>
      <c r="P349" s="74"/>
      <c r="Q349" s="75"/>
      <c r="R349" s="75"/>
      <c r="S349" s="75"/>
      <c r="T349" s="75"/>
    </row>
    <row r="350" spans="1:20" s="76" customFormat="1" ht="12" customHeight="1" x14ac:dyDescent="0.25">
      <c r="A350" s="440"/>
      <c r="B350" s="441"/>
      <c r="C350" s="79" t="s">
        <v>32</v>
      </c>
      <c r="D350" s="80">
        <v>1122952.23</v>
      </c>
      <c r="E350" s="80">
        <v>573241.75</v>
      </c>
      <c r="F350" s="80">
        <f t="shared" si="44"/>
        <v>0.51047741362960741</v>
      </c>
      <c r="G350" s="441"/>
      <c r="H350" s="441"/>
      <c r="I350" s="440"/>
      <c r="J350" s="434"/>
      <c r="K350" s="434"/>
      <c r="L350" s="74"/>
      <c r="M350" s="74"/>
      <c r="N350" s="74"/>
      <c r="O350" s="74"/>
      <c r="P350" s="74"/>
      <c r="Q350" s="75"/>
      <c r="R350" s="75"/>
      <c r="S350" s="75"/>
      <c r="T350" s="75"/>
    </row>
    <row r="351" spans="1:20" s="76" customFormat="1" ht="12" customHeight="1" x14ac:dyDescent="0.25">
      <c r="A351" s="440"/>
      <c r="B351" s="441"/>
      <c r="C351" s="79" t="s">
        <v>34</v>
      </c>
      <c r="D351" s="80">
        <v>0</v>
      </c>
      <c r="E351" s="80">
        <v>0</v>
      </c>
      <c r="F351" s="80">
        <v>0</v>
      </c>
      <c r="G351" s="441"/>
      <c r="H351" s="441"/>
      <c r="I351" s="440"/>
      <c r="J351" s="434"/>
      <c r="K351" s="434"/>
      <c r="L351" s="74"/>
      <c r="M351" s="74"/>
      <c r="N351" s="74"/>
      <c r="O351" s="74"/>
      <c r="P351" s="74"/>
      <c r="Q351" s="75"/>
      <c r="R351" s="75"/>
      <c r="S351" s="75"/>
      <c r="T351" s="75"/>
    </row>
    <row r="352" spans="1:20" s="76" customFormat="1" ht="12" customHeight="1" x14ac:dyDescent="0.25">
      <c r="A352" s="440"/>
      <c r="B352" s="441"/>
      <c r="C352" s="79" t="s">
        <v>36</v>
      </c>
      <c r="D352" s="80">
        <v>0</v>
      </c>
      <c r="E352" s="80">
        <v>0</v>
      </c>
      <c r="F352" s="80">
        <v>0</v>
      </c>
      <c r="G352" s="441"/>
      <c r="H352" s="441"/>
      <c r="I352" s="440"/>
      <c r="J352" s="434"/>
      <c r="K352" s="434"/>
      <c r="L352" s="74"/>
      <c r="M352" s="74"/>
      <c r="N352" s="74"/>
      <c r="O352" s="74"/>
      <c r="P352" s="74"/>
      <c r="Q352" s="75"/>
      <c r="R352" s="75"/>
      <c r="S352" s="75"/>
      <c r="T352" s="75"/>
    </row>
    <row r="353" spans="1:20" s="70" customFormat="1" ht="12" customHeight="1" x14ac:dyDescent="0.25">
      <c r="A353" s="440" t="s">
        <v>167</v>
      </c>
      <c r="B353" s="441" t="s">
        <v>168</v>
      </c>
      <c r="C353" s="77" t="s">
        <v>28</v>
      </c>
      <c r="D353" s="78">
        <f>D354+D355+D356+D357</f>
        <v>40377535.880000003</v>
      </c>
      <c r="E353" s="78">
        <f>E354+E355+E356+E357</f>
        <v>18421684.949999999</v>
      </c>
      <c r="F353" s="78">
        <f t="shared" ref="F353:F356" si="46">E353/D353</f>
        <v>0.45623598737546334</v>
      </c>
      <c r="G353" s="441" t="s">
        <v>48</v>
      </c>
      <c r="H353" s="441" t="s">
        <v>49</v>
      </c>
      <c r="I353" s="440" t="s">
        <v>50</v>
      </c>
      <c r="J353" s="434"/>
      <c r="K353" s="434"/>
      <c r="L353" s="68"/>
      <c r="M353" s="68"/>
      <c r="N353" s="68"/>
      <c r="O353" s="68"/>
      <c r="P353" s="68"/>
      <c r="Q353" s="69"/>
      <c r="R353" s="69"/>
      <c r="S353" s="69"/>
      <c r="T353" s="69"/>
    </row>
    <row r="354" spans="1:20" s="76" customFormat="1" ht="12" customHeight="1" x14ac:dyDescent="0.25">
      <c r="A354" s="440"/>
      <c r="B354" s="441"/>
      <c r="C354" s="79" t="s">
        <v>30</v>
      </c>
      <c r="D354" s="80">
        <v>807550.88</v>
      </c>
      <c r="E354" s="80">
        <v>367947.99</v>
      </c>
      <c r="F354" s="80">
        <f t="shared" si="46"/>
        <v>0.45563443630944961</v>
      </c>
      <c r="G354" s="441"/>
      <c r="H354" s="441"/>
      <c r="I354" s="440"/>
      <c r="J354" s="434"/>
      <c r="K354" s="434"/>
      <c r="L354" s="74"/>
      <c r="M354" s="74"/>
      <c r="N354" s="74"/>
      <c r="O354" s="74"/>
      <c r="P354" s="74"/>
      <c r="Q354" s="75"/>
      <c r="R354" s="75"/>
      <c r="S354" s="75"/>
      <c r="T354" s="75"/>
    </row>
    <row r="355" spans="1:20" s="76" customFormat="1" ht="12" customHeight="1" x14ac:dyDescent="0.25">
      <c r="A355" s="440"/>
      <c r="B355" s="441"/>
      <c r="C355" s="79" t="s">
        <v>32</v>
      </c>
      <c r="D355" s="80">
        <v>14640050</v>
      </c>
      <c r="E355" s="80">
        <v>1468950</v>
      </c>
      <c r="F355" s="80">
        <f t="shared" si="46"/>
        <v>0.10033777207045058</v>
      </c>
      <c r="G355" s="441"/>
      <c r="H355" s="441"/>
      <c r="I355" s="440"/>
      <c r="J355" s="434"/>
      <c r="K355" s="434"/>
      <c r="L355" s="74"/>
      <c r="M355" s="74"/>
      <c r="N355" s="74"/>
      <c r="O355" s="74"/>
      <c r="P355" s="74"/>
      <c r="Q355" s="75"/>
      <c r="R355" s="75"/>
      <c r="S355" s="75"/>
      <c r="T355" s="75"/>
    </row>
    <row r="356" spans="1:20" s="76" customFormat="1" ht="12" customHeight="1" x14ac:dyDescent="0.25">
      <c r="A356" s="440"/>
      <c r="B356" s="441"/>
      <c r="C356" s="79" t="s">
        <v>34</v>
      </c>
      <c r="D356" s="80">
        <v>24929935</v>
      </c>
      <c r="E356" s="80">
        <v>16584786.959999999</v>
      </c>
      <c r="F356" s="80">
        <f t="shared" si="46"/>
        <v>0.6652559246544365</v>
      </c>
      <c r="G356" s="441"/>
      <c r="H356" s="441"/>
      <c r="I356" s="440"/>
      <c r="J356" s="434"/>
      <c r="K356" s="434"/>
      <c r="L356" s="74"/>
      <c r="M356" s="74"/>
      <c r="N356" s="74"/>
      <c r="O356" s="74"/>
      <c r="P356" s="74"/>
      <c r="Q356" s="75"/>
      <c r="R356" s="75"/>
      <c r="S356" s="75"/>
      <c r="T356" s="75"/>
    </row>
    <row r="357" spans="1:20" s="76" customFormat="1" ht="12" customHeight="1" x14ac:dyDescent="0.25">
      <c r="A357" s="440"/>
      <c r="B357" s="441"/>
      <c r="C357" s="79" t="s">
        <v>36</v>
      </c>
      <c r="D357" s="80">
        <v>0</v>
      </c>
      <c r="E357" s="80">
        <v>0</v>
      </c>
      <c r="F357" s="80">
        <v>0</v>
      </c>
      <c r="G357" s="441"/>
      <c r="H357" s="441"/>
      <c r="I357" s="440"/>
      <c r="J357" s="434"/>
      <c r="K357" s="434"/>
      <c r="L357" s="74"/>
      <c r="M357" s="74"/>
      <c r="N357" s="74"/>
      <c r="O357" s="74"/>
      <c r="P357" s="74"/>
      <c r="Q357" s="75"/>
      <c r="R357" s="75"/>
      <c r="S357" s="75"/>
      <c r="T357" s="75"/>
    </row>
    <row r="358" spans="1:20" s="70" customFormat="1" ht="12" customHeight="1" x14ac:dyDescent="0.25">
      <c r="A358" s="436" t="s">
        <v>169</v>
      </c>
      <c r="B358" s="437" t="s">
        <v>170</v>
      </c>
      <c r="C358" s="126" t="s">
        <v>28</v>
      </c>
      <c r="D358" s="127">
        <f>D359+D360+D361+D362</f>
        <v>14659584.120000001</v>
      </c>
      <c r="E358" s="127">
        <f>E359+E360+E361+E362</f>
        <v>8009062.5800000001</v>
      </c>
      <c r="F358" s="127">
        <f>E358/D358</f>
        <v>0.54633627492019188</v>
      </c>
      <c r="G358" s="438"/>
      <c r="H358" s="128" t="s">
        <v>39</v>
      </c>
      <c r="I358" s="126"/>
      <c r="J358" s="439"/>
      <c r="K358" s="439"/>
      <c r="L358" s="68"/>
      <c r="M358" s="68"/>
      <c r="N358" s="68"/>
      <c r="O358" s="68"/>
      <c r="P358" s="68"/>
      <c r="Q358" s="69"/>
      <c r="R358" s="69"/>
      <c r="S358" s="69"/>
      <c r="T358" s="69"/>
    </row>
    <row r="359" spans="1:20" s="76" customFormat="1" ht="12" customHeight="1" x14ac:dyDescent="0.25">
      <c r="A359" s="436"/>
      <c r="B359" s="437"/>
      <c r="C359" s="129" t="s">
        <v>30</v>
      </c>
      <c r="D359" s="130">
        <f>D364</f>
        <v>7080214.1200000001</v>
      </c>
      <c r="E359" s="130">
        <f>E364</f>
        <v>2949399</v>
      </c>
      <c r="F359" s="130">
        <f t="shared" ref="F359:F367" si="47">E359/D359</f>
        <v>0.41656918138515281</v>
      </c>
      <c r="G359" s="438"/>
      <c r="H359" s="131" t="s">
        <v>31</v>
      </c>
      <c r="I359" s="129"/>
      <c r="J359" s="439"/>
      <c r="K359" s="439"/>
      <c r="L359" s="74"/>
      <c r="M359" s="74"/>
      <c r="N359" s="74"/>
      <c r="O359" s="74"/>
      <c r="P359" s="74"/>
      <c r="Q359" s="75"/>
      <c r="R359" s="75"/>
      <c r="S359" s="75"/>
      <c r="T359" s="75"/>
    </row>
    <row r="360" spans="1:20" s="76" customFormat="1" ht="12" customHeight="1" x14ac:dyDescent="0.25">
      <c r="A360" s="436"/>
      <c r="B360" s="437"/>
      <c r="C360" s="129" t="s">
        <v>32</v>
      </c>
      <c r="D360" s="130">
        <f t="shared" ref="D360:E362" si="48">D365</f>
        <v>3260900</v>
      </c>
      <c r="E360" s="130">
        <f t="shared" si="48"/>
        <v>2274225.58</v>
      </c>
      <c r="F360" s="130">
        <f t="shared" si="47"/>
        <v>0.6974226685884265</v>
      </c>
      <c r="G360" s="438"/>
      <c r="H360" s="131" t="s">
        <v>33</v>
      </c>
      <c r="I360" s="129"/>
      <c r="J360" s="439"/>
      <c r="K360" s="439"/>
      <c r="L360" s="74"/>
      <c r="M360" s="74"/>
      <c r="N360" s="74"/>
      <c r="O360" s="74"/>
      <c r="P360" s="74"/>
      <c r="Q360" s="75"/>
      <c r="R360" s="75"/>
      <c r="S360" s="75"/>
      <c r="T360" s="75"/>
    </row>
    <row r="361" spans="1:20" s="76" customFormat="1" ht="12" customHeight="1" x14ac:dyDescent="0.25">
      <c r="A361" s="436"/>
      <c r="B361" s="437"/>
      <c r="C361" s="129" t="s">
        <v>34</v>
      </c>
      <c r="D361" s="130">
        <f t="shared" si="48"/>
        <v>0</v>
      </c>
      <c r="E361" s="130">
        <f t="shared" si="48"/>
        <v>0</v>
      </c>
      <c r="F361" s="130">
        <v>0</v>
      </c>
      <c r="G361" s="438"/>
      <c r="H361" s="131" t="s">
        <v>35</v>
      </c>
      <c r="I361" s="129"/>
      <c r="J361" s="439"/>
      <c r="K361" s="439"/>
      <c r="L361" s="74"/>
      <c r="M361" s="74"/>
      <c r="N361" s="74"/>
      <c r="O361" s="74"/>
      <c r="P361" s="74"/>
      <c r="Q361" s="75"/>
      <c r="R361" s="75"/>
      <c r="S361" s="75"/>
      <c r="T361" s="75"/>
    </row>
    <row r="362" spans="1:20" s="76" customFormat="1" ht="12" customHeight="1" x14ac:dyDescent="0.25">
      <c r="A362" s="436"/>
      <c r="B362" s="437"/>
      <c r="C362" s="129" t="s">
        <v>36</v>
      </c>
      <c r="D362" s="130">
        <f t="shared" si="48"/>
        <v>4318470</v>
      </c>
      <c r="E362" s="130">
        <f t="shared" si="48"/>
        <v>2785438</v>
      </c>
      <c r="F362" s="130">
        <f t="shared" si="47"/>
        <v>0.64500575435281482</v>
      </c>
      <c r="G362" s="438"/>
      <c r="H362" s="131" t="s">
        <v>37</v>
      </c>
      <c r="I362" s="129"/>
      <c r="J362" s="439"/>
      <c r="K362" s="439"/>
      <c r="L362" s="74"/>
      <c r="M362" s="74"/>
      <c r="N362" s="74"/>
      <c r="O362" s="74"/>
      <c r="P362" s="74"/>
      <c r="Q362" s="75"/>
      <c r="R362" s="75"/>
      <c r="S362" s="75"/>
      <c r="T362" s="75"/>
    </row>
    <row r="363" spans="1:20" s="70" customFormat="1" ht="12" customHeight="1" x14ac:dyDescent="0.25">
      <c r="A363" s="440" t="s">
        <v>171</v>
      </c>
      <c r="B363" s="441" t="s">
        <v>172</v>
      </c>
      <c r="C363" s="77" t="s">
        <v>28</v>
      </c>
      <c r="D363" s="78">
        <f>D364+D365+D366+D367</f>
        <v>14659584.120000001</v>
      </c>
      <c r="E363" s="78">
        <f>E364+E365+E366+E367</f>
        <v>8009062.5800000001</v>
      </c>
      <c r="F363" s="78">
        <f t="shared" si="47"/>
        <v>0.54633627492019188</v>
      </c>
      <c r="G363" s="441" t="s">
        <v>48</v>
      </c>
      <c r="H363" s="441" t="s">
        <v>49</v>
      </c>
      <c r="I363" s="440" t="s">
        <v>50</v>
      </c>
      <c r="J363" s="434"/>
      <c r="K363" s="434"/>
      <c r="L363" s="68"/>
      <c r="M363" s="68"/>
      <c r="N363" s="68"/>
      <c r="O363" s="68"/>
      <c r="P363" s="68"/>
      <c r="Q363" s="69"/>
      <c r="R363" s="69"/>
      <c r="S363" s="69"/>
      <c r="T363" s="69"/>
    </row>
    <row r="364" spans="1:20" s="76" customFormat="1" ht="12" customHeight="1" x14ac:dyDescent="0.25">
      <c r="A364" s="440"/>
      <c r="B364" s="441"/>
      <c r="C364" s="79" t="s">
        <v>30</v>
      </c>
      <c r="D364" s="80">
        <v>7080214.1200000001</v>
      </c>
      <c r="E364" s="80">
        <v>2949399</v>
      </c>
      <c r="F364" s="80">
        <f t="shared" si="47"/>
        <v>0.41656918138515281</v>
      </c>
      <c r="G364" s="441"/>
      <c r="H364" s="441"/>
      <c r="I364" s="440"/>
      <c r="J364" s="434"/>
      <c r="K364" s="434"/>
      <c r="L364" s="74"/>
      <c r="M364" s="74"/>
      <c r="N364" s="74"/>
      <c r="O364" s="74"/>
      <c r="P364" s="74"/>
      <c r="Q364" s="75"/>
      <c r="R364" s="75"/>
      <c r="S364" s="75"/>
      <c r="T364" s="75"/>
    </row>
    <row r="365" spans="1:20" s="76" customFormat="1" ht="12" customHeight="1" x14ac:dyDescent="0.25">
      <c r="A365" s="440"/>
      <c r="B365" s="441"/>
      <c r="C365" s="79" t="s">
        <v>32</v>
      </c>
      <c r="D365" s="80">
        <v>3260900</v>
      </c>
      <c r="E365" s="80">
        <v>2274225.58</v>
      </c>
      <c r="F365" s="80">
        <f t="shared" si="47"/>
        <v>0.6974226685884265</v>
      </c>
      <c r="G365" s="441"/>
      <c r="H365" s="441"/>
      <c r="I365" s="440"/>
      <c r="J365" s="434"/>
      <c r="K365" s="434"/>
      <c r="L365" s="74"/>
      <c r="M365" s="74"/>
      <c r="N365" s="74"/>
      <c r="O365" s="74"/>
      <c r="P365" s="74"/>
      <c r="Q365" s="75"/>
      <c r="R365" s="75"/>
      <c r="S365" s="75"/>
      <c r="T365" s="75"/>
    </row>
    <row r="366" spans="1:20" s="76" customFormat="1" ht="12" customHeight="1" x14ac:dyDescent="0.25">
      <c r="A366" s="440"/>
      <c r="B366" s="441"/>
      <c r="C366" s="79" t="s">
        <v>34</v>
      </c>
      <c r="D366" s="80">
        <v>0</v>
      </c>
      <c r="E366" s="80">
        <v>0</v>
      </c>
      <c r="F366" s="80">
        <v>0</v>
      </c>
      <c r="G366" s="441"/>
      <c r="H366" s="441"/>
      <c r="I366" s="440"/>
      <c r="J366" s="434"/>
      <c r="K366" s="434"/>
      <c r="L366" s="74"/>
      <c r="M366" s="74"/>
      <c r="N366" s="74"/>
      <c r="O366" s="74"/>
      <c r="P366" s="74"/>
      <c r="Q366" s="75"/>
      <c r="R366" s="75"/>
      <c r="S366" s="75"/>
      <c r="T366" s="75"/>
    </row>
    <row r="367" spans="1:20" s="76" customFormat="1" ht="12" customHeight="1" x14ac:dyDescent="0.25">
      <c r="A367" s="440"/>
      <c r="B367" s="441"/>
      <c r="C367" s="79" t="s">
        <v>36</v>
      </c>
      <c r="D367" s="80">
        <v>4318470</v>
      </c>
      <c r="E367" s="132">
        <v>2785438</v>
      </c>
      <c r="F367" s="80">
        <f t="shared" si="47"/>
        <v>0.64500575435281482</v>
      </c>
      <c r="G367" s="441"/>
      <c r="H367" s="441"/>
      <c r="I367" s="440"/>
      <c r="J367" s="434"/>
      <c r="K367" s="434"/>
      <c r="L367" s="74"/>
      <c r="M367" s="74"/>
      <c r="N367" s="74"/>
      <c r="O367" s="74"/>
      <c r="P367" s="74"/>
      <c r="Q367" s="75"/>
      <c r="R367" s="75"/>
      <c r="S367" s="75"/>
      <c r="T367" s="75"/>
    </row>
    <row r="368" spans="1:20" ht="20.25" customHeight="1" x14ac:dyDescent="0.25">
      <c r="A368" s="1"/>
      <c r="C368" s="3"/>
    </row>
    <row r="369" spans="1:11" ht="23.25" customHeight="1" x14ac:dyDescent="0.25">
      <c r="A369" s="432" t="s">
        <v>173</v>
      </c>
      <c r="B369" s="432"/>
      <c r="C369" s="432"/>
      <c r="D369" s="432"/>
      <c r="E369" s="432"/>
      <c r="F369" s="432"/>
      <c r="G369" s="432"/>
      <c r="H369" s="432"/>
      <c r="I369" s="432"/>
      <c r="J369" s="432"/>
      <c r="K369" s="432"/>
    </row>
    <row r="370" spans="1:11" ht="59.25" customHeight="1" x14ac:dyDescent="0.25">
      <c r="A370" s="435" t="s">
        <v>174</v>
      </c>
      <c r="B370" s="435"/>
      <c r="C370" s="435"/>
      <c r="D370" s="435"/>
      <c r="E370" s="435"/>
      <c r="F370" s="435"/>
      <c r="G370" s="435"/>
      <c r="H370" s="435"/>
      <c r="I370" s="435"/>
      <c r="J370" s="435"/>
      <c r="K370" s="435"/>
    </row>
    <row r="371" spans="1:11" ht="12.75" customHeight="1" x14ac:dyDescent="0.25">
      <c r="A371" s="432" t="s">
        <v>175</v>
      </c>
      <c r="B371" s="432"/>
      <c r="C371" s="432"/>
      <c r="D371" s="432"/>
      <c r="E371" s="432"/>
      <c r="F371" s="432"/>
      <c r="G371" s="432"/>
      <c r="H371" s="432"/>
      <c r="I371" s="432"/>
      <c r="J371" s="432"/>
      <c r="K371" s="432"/>
    </row>
    <row r="372" spans="1:11" ht="90" customHeight="1" x14ac:dyDescent="0.25">
      <c r="A372" s="435" t="s">
        <v>176</v>
      </c>
      <c r="B372" s="435"/>
      <c r="C372" s="435"/>
      <c r="D372" s="435"/>
      <c r="E372" s="435"/>
      <c r="F372" s="435"/>
      <c r="G372" s="435"/>
      <c r="H372" s="435"/>
      <c r="I372" s="435"/>
      <c r="J372" s="435"/>
      <c r="K372" s="435"/>
    </row>
    <row r="373" spans="1:11" ht="15" customHeight="1" x14ac:dyDescent="0.25">
      <c r="A373" s="432" t="s">
        <v>177</v>
      </c>
      <c r="B373" s="432"/>
      <c r="C373" s="432"/>
      <c r="D373" s="432"/>
      <c r="E373" s="432"/>
      <c r="F373" s="432"/>
      <c r="G373" s="432"/>
      <c r="H373" s="432"/>
      <c r="I373" s="432"/>
      <c r="J373" s="432"/>
      <c r="K373" s="432"/>
    </row>
    <row r="374" spans="1:11" ht="26.25" customHeight="1" x14ac:dyDescent="0.25">
      <c r="A374" s="433" t="s">
        <v>178</v>
      </c>
      <c r="B374" s="433"/>
      <c r="C374" s="433"/>
      <c r="D374" s="433"/>
      <c r="E374" s="433"/>
      <c r="F374" s="433"/>
      <c r="G374" s="433"/>
      <c r="H374" s="433"/>
      <c r="I374" s="433"/>
      <c r="J374" s="433"/>
      <c r="K374" s="433"/>
    </row>
  </sheetData>
  <mergeCells count="428">
    <mergeCell ref="A3:K3"/>
    <mergeCell ref="A16:A17"/>
    <mergeCell ref="B16:B17"/>
    <mergeCell ref="C16:E16"/>
    <mergeCell ref="F16:F17"/>
    <mergeCell ref="G16:I16"/>
    <mergeCell ref="J16:J17"/>
    <mergeCell ref="K16:K17"/>
    <mergeCell ref="A18:A22"/>
    <mergeCell ref="B18:B22"/>
    <mergeCell ref="G18:G22"/>
    <mergeCell ref="J18:J22"/>
    <mergeCell ref="K18:K22"/>
    <mergeCell ref="A23:A27"/>
    <mergeCell ref="B23:B27"/>
    <mergeCell ref="G23:G27"/>
    <mergeCell ref="J23:J27"/>
    <mergeCell ref="K23:K27"/>
    <mergeCell ref="A28:A32"/>
    <mergeCell ref="B28:B32"/>
    <mergeCell ref="G28:G32"/>
    <mergeCell ref="J28:J32"/>
    <mergeCell ref="K28:K32"/>
    <mergeCell ref="A33:A37"/>
    <mergeCell ref="B33:B37"/>
    <mergeCell ref="G33:G37"/>
    <mergeCell ref="J33:J37"/>
    <mergeCell ref="K33:K37"/>
    <mergeCell ref="A38:A42"/>
    <mergeCell ref="B38:B42"/>
    <mergeCell ref="G38:G42"/>
    <mergeCell ref="J38:J42"/>
    <mergeCell ref="K38:K42"/>
    <mergeCell ref="A43:A47"/>
    <mergeCell ref="B43:B47"/>
    <mergeCell ref="G43:G47"/>
    <mergeCell ref="J43:J47"/>
    <mergeCell ref="K43:K47"/>
    <mergeCell ref="K48:K52"/>
    <mergeCell ref="A53:A57"/>
    <mergeCell ref="B53:B57"/>
    <mergeCell ref="G53:G57"/>
    <mergeCell ref="H53:H57"/>
    <mergeCell ref="I53:I57"/>
    <mergeCell ref="J53:J57"/>
    <mergeCell ref="K53:K57"/>
    <mergeCell ref="A48:A52"/>
    <mergeCell ref="B48:B52"/>
    <mergeCell ref="G48:G52"/>
    <mergeCell ref="H48:H52"/>
    <mergeCell ref="I48:I52"/>
    <mergeCell ref="J48:J52"/>
    <mergeCell ref="A58:A62"/>
    <mergeCell ref="B58:B62"/>
    <mergeCell ref="G58:G62"/>
    <mergeCell ref="J58:J62"/>
    <mergeCell ref="K58:K62"/>
    <mergeCell ref="A63:A67"/>
    <mergeCell ref="B63:B67"/>
    <mergeCell ref="G63:G67"/>
    <mergeCell ref="J63:J67"/>
    <mergeCell ref="K63:K67"/>
    <mergeCell ref="K68:K72"/>
    <mergeCell ref="A73:A77"/>
    <mergeCell ref="B73:B77"/>
    <mergeCell ref="G73:G77"/>
    <mergeCell ref="J73:J77"/>
    <mergeCell ref="K73:K77"/>
    <mergeCell ref="A68:A72"/>
    <mergeCell ref="B68:B72"/>
    <mergeCell ref="G68:G72"/>
    <mergeCell ref="H68:H72"/>
    <mergeCell ref="I68:I72"/>
    <mergeCell ref="J68:J72"/>
    <mergeCell ref="K78:K82"/>
    <mergeCell ref="A83:A87"/>
    <mergeCell ref="B83:B87"/>
    <mergeCell ref="G83:G87"/>
    <mergeCell ref="H83:H87"/>
    <mergeCell ref="I83:I87"/>
    <mergeCell ref="J83:J87"/>
    <mergeCell ref="K83:K87"/>
    <mergeCell ref="A78:A82"/>
    <mergeCell ref="B78:B82"/>
    <mergeCell ref="G78:G82"/>
    <mergeCell ref="H78:H82"/>
    <mergeCell ref="I78:I82"/>
    <mergeCell ref="J78:J82"/>
    <mergeCell ref="A88:A92"/>
    <mergeCell ref="B88:B92"/>
    <mergeCell ref="G88:G92"/>
    <mergeCell ref="J88:J92"/>
    <mergeCell ref="K88:K92"/>
    <mergeCell ref="A93:A97"/>
    <mergeCell ref="B93:B97"/>
    <mergeCell ref="G93:G97"/>
    <mergeCell ref="J93:J97"/>
    <mergeCell ref="K93:K97"/>
    <mergeCell ref="A98:A102"/>
    <mergeCell ref="B98:B102"/>
    <mergeCell ref="G98:G102"/>
    <mergeCell ref="J98:J102"/>
    <mergeCell ref="K98:K102"/>
    <mergeCell ref="A103:A107"/>
    <mergeCell ref="B103:B107"/>
    <mergeCell ref="G103:G107"/>
    <mergeCell ref="H103:H107"/>
    <mergeCell ref="I103:I107"/>
    <mergeCell ref="J103:J107"/>
    <mergeCell ref="K103:K107"/>
    <mergeCell ref="A108:A112"/>
    <mergeCell ref="B108:B112"/>
    <mergeCell ref="G108:G112"/>
    <mergeCell ref="H108:H112"/>
    <mergeCell ref="I108:I112"/>
    <mergeCell ref="J108:J112"/>
    <mergeCell ref="K108:K112"/>
    <mergeCell ref="A113:A117"/>
    <mergeCell ref="B113:B117"/>
    <mergeCell ref="G113:G117"/>
    <mergeCell ref="J113:J117"/>
    <mergeCell ref="K113:K117"/>
    <mergeCell ref="A118:A122"/>
    <mergeCell ref="B118:B122"/>
    <mergeCell ref="G118:G122"/>
    <mergeCell ref="J118:J122"/>
    <mergeCell ref="K118:K122"/>
    <mergeCell ref="K123:K127"/>
    <mergeCell ref="A128:A132"/>
    <mergeCell ref="B128:B132"/>
    <mergeCell ref="G128:G132"/>
    <mergeCell ref="H128:H132"/>
    <mergeCell ref="I128:I132"/>
    <mergeCell ref="J128:J132"/>
    <mergeCell ref="K128:K132"/>
    <mergeCell ref="A123:A127"/>
    <mergeCell ref="B123:B127"/>
    <mergeCell ref="G123:G127"/>
    <mergeCell ref="H123:H127"/>
    <mergeCell ref="I123:I127"/>
    <mergeCell ref="J123:J127"/>
    <mergeCell ref="A133:A137"/>
    <mergeCell ref="B133:B137"/>
    <mergeCell ref="G133:G137"/>
    <mergeCell ref="J133:J137"/>
    <mergeCell ref="K133:K137"/>
    <mergeCell ref="A138:A142"/>
    <mergeCell ref="B138:B142"/>
    <mergeCell ref="G138:G142"/>
    <mergeCell ref="J138:J142"/>
    <mergeCell ref="K138:K142"/>
    <mergeCell ref="A143:A147"/>
    <mergeCell ref="B143:B147"/>
    <mergeCell ref="G143:G147"/>
    <mergeCell ref="J143:J147"/>
    <mergeCell ref="K143:K147"/>
    <mergeCell ref="A148:A152"/>
    <mergeCell ref="B148:B152"/>
    <mergeCell ref="G148:G152"/>
    <mergeCell ref="H148:H152"/>
    <mergeCell ref="I148:I152"/>
    <mergeCell ref="J148:J152"/>
    <mergeCell ref="K148:K152"/>
    <mergeCell ref="A153:A157"/>
    <mergeCell ref="B153:B157"/>
    <mergeCell ref="G153:G157"/>
    <mergeCell ref="H153:H157"/>
    <mergeCell ref="I153:I157"/>
    <mergeCell ref="J153:J157"/>
    <mergeCell ref="K153:K157"/>
    <mergeCell ref="A158:A162"/>
    <mergeCell ref="B158:B162"/>
    <mergeCell ref="G158:G162"/>
    <mergeCell ref="J158:J162"/>
    <mergeCell ref="K158:K162"/>
    <mergeCell ref="A163:A167"/>
    <mergeCell ref="B163:B167"/>
    <mergeCell ref="G163:G167"/>
    <mergeCell ref="J163:J167"/>
    <mergeCell ref="K163:K167"/>
    <mergeCell ref="K168:K172"/>
    <mergeCell ref="A173:A177"/>
    <mergeCell ref="B173:B177"/>
    <mergeCell ref="G173:G177"/>
    <mergeCell ref="J173:J177"/>
    <mergeCell ref="K173:K177"/>
    <mergeCell ref="A168:A172"/>
    <mergeCell ref="B168:B172"/>
    <mergeCell ref="G168:G172"/>
    <mergeCell ref="H168:H172"/>
    <mergeCell ref="I168:I172"/>
    <mergeCell ref="J168:J172"/>
    <mergeCell ref="K178:K182"/>
    <mergeCell ref="A183:A187"/>
    <mergeCell ref="B183:B187"/>
    <mergeCell ref="G183:G187"/>
    <mergeCell ref="H183:H187"/>
    <mergeCell ref="I183:I187"/>
    <mergeCell ref="J183:J187"/>
    <mergeCell ref="K183:K187"/>
    <mergeCell ref="A178:A182"/>
    <mergeCell ref="B178:B182"/>
    <mergeCell ref="G178:G182"/>
    <mergeCell ref="H178:H182"/>
    <mergeCell ref="I178:I182"/>
    <mergeCell ref="J178:J182"/>
    <mergeCell ref="J193:J197"/>
    <mergeCell ref="K193:K197"/>
    <mergeCell ref="A198:A202"/>
    <mergeCell ref="B198:B202"/>
    <mergeCell ref="G198:G202"/>
    <mergeCell ref="J198:J202"/>
    <mergeCell ref="K198:K202"/>
    <mergeCell ref="A188:A192"/>
    <mergeCell ref="B188:B192"/>
    <mergeCell ref="G188:G192"/>
    <mergeCell ref="J188:J192"/>
    <mergeCell ref="K188:K192"/>
    <mergeCell ref="A193:A197"/>
    <mergeCell ref="B193:B197"/>
    <mergeCell ref="G193:G197"/>
    <mergeCell ref="H193:H197"/>
    <mergeCell ref="I193:I197"/>
    <mergeCell ref="A203:A207"/>
    <mergeCell ref="B203:B207"/>
    <mergeCell ref="G203:G207"/>
    <mergeCell ref="J203:J207"/>
    <mergeCell ref="K203:K207"/>
    <mergeCell ref="A208:A212"/>
    <mergeCell ref="B208:B212"/>
    <mergeCell ref="G208:G212"/>
    <mergeCell ref="H208:H212"/>
    <mergeCell ref="I208:I212"/>
    <mergeCell ref="J208:J212"/>
    <mergeCell ref="K208:K212"/>
    <mergeCell ref="A213:A217"/>
    <mergeCell ref="B213:B217"/>
    <mergeCell ref="G213:G217"/>
    <mergeCell ref="H213:H217"/>
    <mergeCell ref="I213:I217"/>
    <mergeCell ref="J213:J217"/>
    <mergeCell ref="K213:K217"/>
    <mergeCell ref="J223:J227"/>
    <mergeCell ref="K223:K227"/>
    <mergeCell ref="A228:A232"/>
    <mergeCell ref="B228:B232"/>
    <mergeCell ref="G228:G232"/>
    <mergeCell ref="J228:J232"/>
    <mergeCell ref="K228:K232"/>
    <mergeCell ref="A218:A222"/>
    <mergeCell ref="B218:B222"/>
    <mergeCell ref="G218:G222"/>
    <mergeCell ref="J218:J222"/>
    <mergeCell ref="K218:K222"/>
    <mergeCell ref="A223:A227"/>
    <mergeCell ref="B223:B227"/>
    <mergeCell ref="G223:G227"/>
    <mergeCell ref="H223:H227"/>
    <mergeCell ref="I223:I227"/>
    <mergeCell ref="K233:K237"/>
    <mergeCell ref="A238:A242"/>
    <mergeCell ref="B238:B242"/>
    <mergeCell ref="G238:G242"/>
    <mergeCell ref="H238:H242"/>
    <mergeCell ref="I238:I242"/>
    <mergeCell ref="J238:J242"/>
    <mergeCell ref="K238:K242"/>
    <mergeCell ref="A233:A237"/>
    <mergeCell ref="B233:B237"/>
    <mergeCell ref="G233:G237"/>
    <mergeCell ref="H233:H237"/>
    <mergeCell ref="I233:I237"/>
    <mergeCell ref="J233:J237"/>
    <mergeCell ref="A243:A247"/>
    <mergeCell ref="B243:B247"/>
    <mergeCell ref="G243:G247"/>
    <mergeCell ref="J243:J247"/>
    <mergeCell ref="K243:K247"/>
    <mergeCell ref="A248:A252"/>
    <mergeCell ref="B248:B252"/>
    <mergeCell ref="G248:G252"/>
    <mergeCell ref="J248:J252"/>
    <mergeCell ref="K248:K252"/>
    <mergeCell ref="J258:J262"/>
    <mergeCell ref="K258:K262"/>
    <mergeCell ref="A263:A267"/>
    <mergeCell ref="B263:B267"/>
    <mergeCell ref="G263:G267"/>
    <mergeCell ref="J263:J267"/>
    <mergeCell ref="K263:K267"/>
    <mergeCell ref="A253:A257"/>
    <mergeCell ref="B253:B257"/>
    <mergeCell ref="G253:G257"/>
    <mergeCell ref="J253:J257"/>
    <mergeCell ref="K253:K257"/>
    <mergeCell ref="A258:A262"/>
    <mergeCell ref="B258:B262"/>
    <mergeCell ref="G258:G262"/>
    <mergeCell ref="H258:H262"/>
    <mergeCell ref="I258:I262"/>
    <mergeCell ref="K268:K272"/>
    <mergeCell ref="A273:A277"/>
    <mergeCell ref="B273:B277"/>
    <mergeCell ref="G273:G277"/>
    <mergeCell ref="H273:H277"/>
    <mergeCell ref="I273:I277"/>
    <mergeCell ref="J273:J277"/>
    <mergeCell ref="K273:K277"/>
    <mergeCell ref="A268:A272"/>
    <mergeCell ref="B268:B272"/>
    <mergeCell ref="G268:G272"/>
    <mergeCell ref="H268:H272"/>
    <mergeCell ref="I268:I272"/>
    <mergeCell ref="J268:J272"/>
    <mergeCell ref="J283:J287"/>
    <mergeCell ref="K283:K287"/>
    <mergeCell ref="A288:A292"/>
    <mergeCell ref="B288:B292"/>
    <mergeCell ref="G288:G292"/>
    <mergeCell ref="J288:J292"/>
    <mergeCell ref="K288:K292"/>
    <mergeCell ref="A278:A282"/>
    <mergeCell ref="B278:B282"/>
    <mergeCell ref="G278:G282"/>
    <mergeCell ref="J278:J282"/>
    <mergeCell ref="K278:K282"/>
    <mergeCell ref="A283:A287"/>
    <mergeCell ref="B283:B287"/>
    <mergeCell ref="G283:G287"/>
    <mergeCell ref="H283:H287"/>
    <mergeCell ref="I283:I287"/>
    <mergeCell ref="A293:A297"/>
    <mergeCell ref="B293:B297"/>
    <mergeCell ref="G293:G297"/>
    <mergeCell ref="J293:J297"/>
    <mergeCell ref="K293:K297"/>
    <mergeCell ref="A298:A302"/>
    <mergeCell ref="B298:B302"/>
    <mergeCell ref="G298:G302"/>
    <mergeCell ref="J298:J302"/>
    <mergeCell ref="K298:K302"/>
    <mergeCell ref="A303:A307"/>
    <mergeCell ref="B303:B307"/>
    <mergeCell ref="G303:G307"/>
    <mergeCell ref="J303:J307"/>
    <mergeCell ref="K303:K307"/>
    <mergeCell ref="A308:A312"/>
    <mergeCell ref="B308:B312"/>
    <mergeCell ref="G308:G312"/>
    <mergeCell ref="H308:H312"/>
    <mergeCell ref="I308:I312"/>
    <mergeCell ref="J308:J312"/>
    <mergeCell ref="K308:K312"/>
    <mergeCell ref="A313:A317"/>
    <mergeCell ref="B313:B317"/>
    <mergeCell ref="G313:G317"/>
    <mergeCell ref="H313:H317"/>
    <mergeCell ref="I313:I317"/>
    <mergeCell ref="J313:J317"/>
    <mergeCell ref="K313:K317"/>
    <mergeCell ref="J323:J327"/>
    <mergeCell ref="K323:K327"/>
    <mergeCell ref="A328:A332"/>
    <mergeCell ref="B328:B332"/>
    <mergeCell ref="G328:G332"/>
    <mergeCell ref="J328:J332"/>
    <mergeCell ref="K328:K332"/>
    <mergeCell ref="A318:A322"/>
    <mergeCell ref="B318:B322"/>
    <mergeCell ref="G318:G322"/>
    <mergeCell ref="J318:J322"/>
    <mergeCell ref="K318:K322"/>
    <mergeCell ref="A323:A327"/>
    <mergeCell ref="B323:B327"/>
    <mergeCell ref="G323:G327"/>
    <mergeCell ref="H323:H327"/>
    <mergeCell ref="I323:I327"/>
    <mergeCell ref="A353:A357"/>
    <mergeCell ref="B353:B357"/>
    <mergeCell ref="G353:G357"/>
    <mergeCell ref="H353:H357"/>
    <mergeCell ref="I353:I357"/>
    <mergeCell ref="J353:J357"/>
    <mergeCell ref="K353:K357"/>
    <mergeCell ref="K333:K337"/>
    <mergeCell ref="A338:A342"/>
    <mergeCell ref="B338:B342"/>
    <mergeCell ref="G338:G342"/>
    <mergeCell ref="H338:H342"/>
    <mergeCell ref="I338:I342"/>
    <mergeCell ref="J338:J342"/>
    <mergeCell ref="K338:K342"/>
    <mergeCell ref="A333:A337"/>
    <mergeCell ref="B333:B337"/>
    <mergeCell ref="G333:G337"/>
    <mergeCell ref="H333:H337"/>
    <mergeCell ref="I333:I337"/>
    <mergeCell ref="J333:J337"/>
    <mergeCell ref="A343:A347"/>
    <mergeCell ref="B343:B347"/>
    <mergeCell ref="G343:G347"/>
    <mergeCell ref="J343:J347"/>
    <mergeCell ref="K343:K347"/>
    <mergeCell ref="A348:A352"/>
    <mergeCell ref="B348:B352"/>
    <mergeCell ref="G348:G352"/>
    <mergeCell ref="H348:H352"/>
    <mergeCell ref="I348:I352"/>
    <mergeCell ref="J348:J352"/>
    <mergeCell ref="K348:K352"/>
    <mergeCell ref="A373:K373"/>
    <mergeCell ref="A374:K374"/>
    <mergeCell ref="J363:J367"/>
    <mergeCell ref="K363:K367"/>
    <mergeCell ref="A369:K369"/>
    <mergeCell ref="A370:K370"/>
    <mergeCell ref="A371:K371"/>
    <mergeCell ref="A372:K372"/>
    <mergeCell ref="A358:A362"/>
    <mergeCell ref="B358:B362"/>
    <mergeCell ref="G358:G362"/>
    <mergeCell ref="J358:J362"/>
    <mergeCell ref="K358:K362"/>
    <mergeCell ref="A363:A367"/>
    <mergeCell ref="B363:B367"/>
    <mergeCell ref="G363:G367"/>
    <mergeCell ref="H363:H367"/>
    <mergeCell ref="I363:I367"/>
  </mergeCells>
  <pageMargins left="0.35433070866141736" right="0.27559055118110237" top="0.98425196850393704" bottom="0.15748031496062992" header="0.31496062992125984" footer="0.11811023622047245"/>
  <pageSetup paperSize="9" scale="83" fitToHeight="0" orientation="landscape" r:id="rId1"/>
  <headerFooter>
    <oddHeader>&amp;C&amp;"Times New Roman,обычный"&amp;10 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385"/>
  <sheetViews>
    <sheetView topLeftCell="A3" zoomScale="120" zoomScaleNormal="120" zoomScaleSheetLayoutView="100" workbookViewId="0">
      <pane xSplit="2" ySplit="15" topLeftCell="C344" activePane="bottomRight" state="frozen"/>
      <selection activeCell="N13" sqref="N13"/>
      <selection pane="topRight" activeCell="N13" sqref="N13"/>
      <selection pane="bottomLeft" activeCell="N13" sqref="N13"/>
      <selection pane="bottomRight" activeCell="N13" sqref="N13"/>
    </sheetView>
  </sheetViews>
  <sheetFormatPr defaultRowHeight="15" x14ac:dyDescent="0.25"/>
  <cols>
    <col min="1" max="1" width="4.85546875" style="2" customWidth="1"/>
    <col min="2" max="2" width="74" style="2" customWidth="1"/>
    <col min="3" max="3" width="5.85546875" style="2" customWidth="1"/>
    <col min="4" max="4" width="14" style="4" customWidth="1"/>
    <col min="5" max="5" width="13.7109375" style="4" customWidth="1"/>
    <col min="6" max="6" width="13.5703125" style="4" customWidth="1"/>
    <col min="7" max="7" width="27.7109375" style="2" hidden="1" customWidth="1"/>
    <col min="8" max="8" width="31.28515625" style="2" hidden="1" customWidth="1"/>
    <col min="9" max="9" width="15" style="2" hidden="1" customWidth="1"/>
    <col min="10" max="10" width="11.7109375" style="2" hidden="1" customWidth="1"/>
    <col min="11" max="11" width="20.42578125" style="2" hidden="1" customWidth="1"/>
    <col min="12" max="12" width="14.5703125" style="6" bestFit="1" customWidth="1"/>
    <col min="13" max="13" width="13.28515625" style="6" customWidth="1"/>
    <col min="14" max="16" width="11.42578125" style="6" customWidth="1"/>
    <col min="17" max="17" width="14.42578125" style="7" customWidth="1"/>
    <col min="18" max="18" width="17.42578125" style="7" bestFit="1" customWidth="1"/>
    <col min="19" max="19" width="17.42578125" style="7" customWidth="1"/>
    <col min="20" max="20" width="9.140625" style="7"/>
    <col min="21" max="16384" width="9.140625" style="2"/>
  </cols>
  <sheetData>
    <row r="1" spans="1:18" ht="12" customHeight="1" x14ac:dyDescent="0.25">
      <c r="A1" s="1"/>
      <c r="C1" s="3"/>
      <c r="K1" s="5" t="s">
        <v>0</v>
      </c>
    </row>
    <row r="2" spans="1:18" ht="18.75" customHeight="1" x14ac:dyDescent="0.25">
      <c r="A2" s="1"/>
      <c r="C2" s="3"/>
    </row>
    <row r="3" spans="1:18" ht="12.75" customHeight="1" x14ac:dyDescent="0.25">
      <c r="A3" s="511" t="s">
        <v>1</v>
      </c>
      <c r="B3" s="511"/>
      <c r="C3" s="511"/>
      <c r="D3" s="511"/>
      <c r="E3" s="511"/>
      <c r="F3" s="511"/>
      <c r="G3" s="511"/>
      <c r="H3" s="511"/>
      <c r="I3" s="511"/>
      <c r="J3" s="511"/>
      <c r="K3" s="511"/>
    </row>
    <row r="4" spans="1:18" ht="12.75" hidden="1" customHeight="1" x14ac:dyDescent="0.25">
      <c r="A4" s="157"/>
      <c r="B4" s="157"/>
      <c r="C4" s="157"/>
      <c r="D4" s="157"/>
      <c r="E4" s="157"/>
      <c r="F4" s="157"/>
      <c r="G4" s="157"/>
      <c r="H4" s="157"/>
      <c r="I4" s="157"/>
      <c r="J4" s="157"/>
      <c r="K4" s="157"/>
    </row>
    <row r="5" spans="1:18" ht="12.75" hidden="1" customHeight="1" x14ac:dyDescent="0.25">
      <c r="A5" s="157"/>
      <c r="B5" s="157"/>
      <c r="C5" s="9"/>
      <c r="D5" s="10">
        <f>D6+D7+D8+D9</f>
        <v>2112189679.76</v>
      </c>
      <c r="E5" s="11">
        <f>D5-D18</f>
        <v>0</v>
      </c>
      <c r="F5" s="157"/>
      <c r="G5" s="157"/>
      <c r="H5" s="157"/>
      <c r="I5" s="157"/>
      <c r="J5" s="157"/>
      <c r="K5" s="157"/>
    </row>
    <row r="6" spans="1:18" ht="12.75" hidden="1" customHeight="1" x14ac:dyDescent="0.25">
      <c r="A6" s="157"/>
      <c r="B6" s="157"/>
      <c r="C6" s="9" t="s">
        <v>2</v>
      </c>
      <c r="D6" s="10">
        <f>'[3]табл.8 11.10.21'!H7</f>
        <v>816562941.31000006</v>
      </c>
      <c r="E6" s="11">
        <f>D6-D19</f>
        <v>0</v>
      </c>
      <c r="F6" s="157"/>
      <c r="G6" s="157"/>
      <c r="H6" s="157"/>
      <c r="I6" s="157"/>
      <c r="J6" s="157"/>
      <c r="K6" s="157"/>
    </row>
    <row r="7" spans="1:18" ht="12.75" hidden="1" customHeight="1" x14ac:dyDescent="0.25">
      <c r="A7" s="157"/>
      <c r="B7" s="157"/>
      <c r="C7" s="9" t="s">
        <v>3</v>
      </c>
      <c r="D7" s="10">
        <f>'[3]табл.8 11.10.21'!F7</f>
        <v>1067184320.5900002</v>
      </c>
      <c r="E7" s="11">
        <f>D7-D20</f>
        <v>0</v>
      </c>
      <c r="F7" s="9" t="s">
        <v>4</v>
      </c>
      <c r="G7" s="10">
        <f>'[3]табл.8 11.10.21'!E424</f>
        <v>1952772214.4500003</v>
      </c>
      <c r="H7" s="10">
        <f>G7-D23</f>
        <v>0</v>
      </c>
      <c r="I7" s="157"/>
      <c r="J7" s="157"/>
      <c r="K7" s="157"/>
    </row>
    <row r="8" spans="1:18" ht="12.75" hidden="1" customHeight="1" x14ac:dyDescent="0.25">
      <c r="A8" s="157"/>
      <c r="B8" s="157"/>
      <c r="C8" s="9" t="s">
        <v>5</v>
      </c>
      <c r="D8" s="10">
        <f>'[3]табл.8 11.10.21'!G7</f>
        <v>94351100.859999999</v>
      </c>
      <c r="E8" s="11">
        <f>D8-D21</f>
        <v>0</v>
      </c>
      <c r="F8" s="9" t="s">
        <v>6</v>
      </c>
      <c r="G8" s="10">
        <f>'[3]табл.8 11.10.21'!E409</f>
        <v>106603015.96000001</v>
      </c>
      <c r="H8" s="10">
        <f>G8-D28</f>
        <v>0</v>
      </c>
      <c r="I8" s="157"/>
      <c r="J8" s="157"/>
      <c r="K8" s="157"/>
    </row>
    <row r="9" spans="1:18" ht="12.75" hidden="1" customHeight="1" x14ac:dyDescent="0.25">
      <c r="A9" s="157"/>
      <c r="B9" s="157"/>
      <c r="C9" s="9" t="s">
        <v>7</v>
      </c>
      <c r="D9" s="10">
        <f>'[3]табл.8 11.10.21'!I7</f>
        <v>134091317</v>
      </c>
      <c r="E9" s="11">
        <f>D9-D22</f>
        <v>0</v>
      </c>
      <c r="F9" s="9" t="s">
        <v>8</v>
      </c>
      <c r="G9" s="10">
        <f>'[3]табл.8 11.10.21'!E417</f>
        <v>52814449.350000001</v>
      </c>
      <c r="H9" s="10">
        <f>G9-D33</f>
        <v>0</v>
      </c>
      <c r="I9" s="157"/>
      <c r="J9" s="157"/>
      <c r="K9" s="157"/>
    </row>
    <row r="10" spans="1:18" ht="12.75" customHeight="1" x14ac:dyDescent="0.25">
      <c r="A10" s="157"/>
      <c r="B10" s="157"/>
      <c r="C10" s="9"/>
      <c r="D10" s="10"/>
      <c r="E10" s="11"/>
      <c r="F10" s="9"/>
      <c r="G10" s="10"/>
      <c r="H10" s="10"/>
      <c r="I10" s="157"/>
      <c r="J10" s="157"/>
      <c r="K10" s="157"/>
      <c r="Q10" s="7">
        <v>568770</v>
      </c>
      <c r="R10" s="7" t="s">
        <v>9</v>
      </c>
    </row>
    <row r="11" spans="1:18" ht="12.75" hidden="1" customHeight="1" x14ac:dyDescent="0.25">
      <c r="A11" s="157"/>
      <c r="B11" s="157"/>
      <c r="C11" s="9"/>
      <c r="D11" s="10" t="s">
        <v>10</v>
      </c>
      <c r="E11" s="11">
        <f>E12+E13+E14</f>
        <v>1355152142.4500003</v>
      </c>
      <c r="F11" s="11">
        <f>E11-E23+E27</f>
        <v>14173659.577500403</v>
      </c>
      <c r="G11" s="10"/>
      <c r="H11" s="10"/>
      <c r="I11" s="157"/>
      <c r="J11" s="157"/>
      <c r="K11" s="157"/>
      <c r="Q11" s="7">
        <f>'[3]01 10 2021'!M8</f>
        <v>401345.58</v>
      </c>
      <c r="R11" s="7" t="s">
        <v>11</v>
      </c>
    </row>
    <row r="12" spans="1:18" ht="12.75" hidden="1" customHeight="1" x14ac:dyDescent="0.25">
      <c r="A12" s="157"/>
      <c r="B12" s="157"/>
      <c r="C12" s="9"/>
      <c r="D12" s="9" t="s">
        <v>2</v>
      </c>
      <c r="E12" s="11">
        <f>'[3]01 10 2021'!M134</f>
        <v>504979707.38999993</v>
      </c>
      <c r="F12" s="11">
        <f>E12-E24</f>
        <v>1434269.127499938</v>
      </c>
      <c r="G12" s="12" t="s">
        <v>12</v>
      </c>
      <c r="H12" s="10"/>
      <c r="I12" s="159"/>
      <c r="J12" s="157"/>
      <c r="K12" s="157"/>
    </row>
    <row r="13" spans="1:18" ht="12.75" hidden="1" customHeight="1" x14ac:dyDescent="0.25">
      <c r="A13" s="157"/>
      <c r="B13" s="157"/>
      <c r="C13" s="9"/>
      <c r="D13" s="9" t="s">
        <v>3</v>
      </c>
      <c r="E13" s="11">
        <f>'[3]01 10 2021'!M132-E14</f>
        <v>782499099.62000036</v>
      </c>
      <c r="F13" s="11">
        <f>E13-E25</f>
        <v>12739390.450000405</v>
      </c>
      <c r="G13" s="6" t="s">
        <v>13</v>
      </c>
      <c r="H13" s="10"/>
      <c r="I13" s="159"/>
      <c r="J13" s="157"/>
      <c r="K13" s="157"/>
    </row>
    <row r="14" spans="1:18" ht="12.75" hidden="1" customHeight="1" x14ac:dyDescent="0.25">
      <c r="A14" s="157"/>
      <c r="B14" s="157"/>
      <c r="C14" s="9"/>
      <c r="D14" s="9" t="s">
        <v>5</v>
      </c>
      <c r="E14" s="11">
        <f>'[3]01 10 2021'!M29+'[3]01 10 2021'!M30+'[3]01 10 2021'!M37+'[3]01 10 2021'!M52+'[3]01 10 2021'!M104-6018953.53</f>
        <v>67673335.439999998</v>
      </c>
      <c r="F14" s="11">
        <f>E14-E26</f>
        <v>0</v>
      </c>
      <c r="G14" s="10"/>
      <c r="H14" s="10"/>
      <c r="I14" s="157"/>
      <c r="J14" s="157"/>
      <c r="K14" s="157"/>
      <c r="O14" s="6" t="s">
        <v>887</v>
      </c>
    </row>
    <row r="15" spans="1:18" ht="12.75" hidden="1" customHeight="1" x14ac:dyDescent="0.25">
      <c r="A15" s="157"/>
      <c r="B15" s="157"/>
      <c r="C15" s="9"/>
      <c r="D15" s="160" t="s">
        <v>7</v>
      </c>
      <c r="E15" s="161">
        <f>'[4]01.10.'!$I$52</f>
        <v>89193374.300000012</v>
      </c>
      <c r="F15" s="161">
        <f>E15-E27</f>
        <v>8750000</v>
      </c>
      <c r="G15" s="10" t="s">
        <v>180</v>
      </c>
      <c r="H15" s="10"/>
      <c r="I15" s="157"/>
      <c r="J15" s="157"/>
      <c r="K15" s="157"/>
    </row>
    <row r="16" spans="1:18" ht="27" customHeight="1" x14ac:dyDescent="0.25">
      <c r="A16" s="449" t="s">
        <v>14</v>
      </c>
      <c r="B16" s="451" t="s">
        <v>15</v>
      </c>
      <c r="C16" s="451" t="s">
        <v>16</v>
      </c>
      <c r="D16" s="451"/>
      <c r="E16" s="451"/>
      <c r="F16" s="512" t="s">
        <v>17</v>
      </c>
      <c r="G16" s="451" t="s">
        <v>18</v>
      </c>
      <c r="H16" s="451"/>
      <c r="I16" s="451"/>
      <c r="J16" s="451" t="s">
        <v>19</v>
      </c>
      <c r="K16" s="451" t="s">
        <v>20</v>
      </c>
    </row>
    <row r="17" spans="1:20" ht="30.75" customHeight="1" x14ac:dyDescent="0.25">
      <c r="A17" s="449"/>
      <c r="B17" s="451"/>
      <c r="C17" s="137" t="s">
        <v>21</v>
      </c>
      <c r="D17" s="158" t="s">
        <v>22</v>
      </c>
      <c r="E17" s="158" t="s">
        <v>23</v>
      </c>
      <c r="F17" s="512"/>
      <c r="G17" s="137" t="s">
        <v>24</v>
      </c>
      <c r="H17" s="137" t="s">
        <v>25</v>
      </c>
      <c r="I17" s="137" t="s">
        <v>26</v>
      </c>
      <c r="J17" s="451"/>
      <c r="K17" s="451"/>
    </row>
    <row r="18" spans="1:20" ht="12" customHeight="1" x14ac:dyDescent="0.25">
      <c r="A18" s="449"/>
      <c r="B18" s="506" t="s">
        <v>27</v>
      </c>
      <c r="C18" s="137" t="s">
        <v>28</v>
      </c>
      <c r="D18" s="15">
        <f>D19+D20+D21+D22</f>
        <v>2112189679.76</v>
      </c>
      <c r="E18" s="15">
        <f>E19+E20+E21+E22</f>
        <v>1421421857.1724999</v>
      </c>
      <c r="F18" s="15">
        <f>E18/D18</f>
        <v>0.67296127369300029</v>
      </c>
      <c r="G18" s="457"/>
      <c r="H18" s="156" t="s">
        <v>29</v>
      </c>
      <c r="I18" s="137"/>
      <c r="J18" s="451"/>
      <c r="K18" s="451"/>
    </row>
    <row r="19" spans="1:20" ht="12" customHeight="1" x14ac:dyDescent="0.25">
      <c r="A19" s="449"/>
      <c r="B19" s="506"/>
      <c r="C19" s="137" t="s">
        <v>30</v>
      </c>
      <c r="D19" s="15">
        <f>D39+D94+D139+D249+D299</f>
        <v>816562941.31000006</v>
      </c>
      <c r="E19" s="15">
        <f>E39+E94+E139+E249+E299</f>
        <v>503545438.26250005</v>
      </c>
      <c r="F19" s="15">
        <f t="shared" ref="F19:F37" si="0">E19/D19</f>
        <v>0.61666457389637275</v>
      </c>
      <c r="G19" s="457"/>
      <c r="H19" s="156" t="s">
        <v>31</v>
      </c>
      <c r="I19" s="137"/>
      <c r="J19" s="451"/>
      <c r="K19" s="451"/>
    </row>
    <row r="20" spans="1:20" ht="12" customHeight="1" x14ac:dyDescent="0.25">
      <c r="A20" s="449"/>
      <c r="B20" s="506"/>
      <c r="C20" s="137" t="s">
        <v>32</v>
      </c>
      <c r="D20" s="15">
        <f t="shared" ref="D20:E22" si="1">D40+D95+D140+D250+D300</f>
        <v>1067184320.5900002</v>
      </c>
      <c r="E20" s="15">
        <f t="shared" si="1"/>
        <v>769759709.16999996</v>
      </c>
      <c r="F20" s="15">
        <f t="shared" si="0"/>
        <v>0.72129968021309854</v>
      </c>
      <c r="G20" s="457"/>
      <c r="H20" s="156" t="s">
        <v>33</v>
      </c>
      <c r="I20" s="137"/>
      <c r="J20" s="451"/>
      <c r="K20" s="451"/>
    </row>
    <row r="21" spans="1:20" ht="12" customHeight="1" x14ac:dyDescent="0.25">
      <c r="A21" s="449"/>
      <c r="B21" s="506"/>
      <c r="C21" s="137" t="s">
        <v>34</v>
      </c>
      <c r="D21" s="15">
        <f t="shared" si="1"/>
        <v>94351100.859999999</v>
      </c>
      <c r="E21" s="15">
        <f t="shared" si="1"/>
        <v>67673335.439999998</v>
      </c>
      <c r="F21" s="15">
        <f t="shared" si="0"/>
        <v>0.71725008847978378</v>
      </c>
      <c r="G21" s="457"/>
      <c r="H21" s="156" t="s">
        <v>35</v>
      </c>
      <c r="I21" s="137"/>
      <c r="J21" s="451"/>
      <c r="K21" s="451"/>
    </row>
    <row r="22" spans="1:20" ht="12" customHeight="1" x14ac:dyDescent="0.25">
      <c r="A22" s="449"/>
      <c r="B22" s="506"/>
      <c r="C22" s="137" t="s">
        <v>36</v>
      </c>
      <c r="D22" s="15">
        <f t="shared" si="1"/>
        <v>134091317</v>
      </c>
      <c r="E22" s="15">
        <f t="shared" si="1"/>
        <v>80443374.300000012</v>
      </c>
      <c r="F22" s="15">
        <f t="shared" si="0"/>
        <v>0.5999148647335607</v>
      </c>
      <c r="G22" s="457"/>
      <c r="H22" s="156" t="s">
        <v>37</v>
      </c>
      <c r="I22" s="137"/>
      <c r="J22" s="451"/>
      <c r="K22" s="451"/>
    </row>
    <row r="23" spans="1:20" s="22" customFormat="1" ht="12" customHeight="1" x14ac:dyDescent="0.25">
      <c r="A23" s="449"/>
      <c r="B23" s="506" t="s">
        <v>38</v>
      </c>
      <c r="C23" s="17" t="s">
        <v>28</v>
      </c>
      <c r="D23" s="18">
        <f>D24+D25+D26+D27</f>
        <v>1952772214.45</v>
      </c>
      <c r="E23" s="18">
        <f>E24+E25+E26+E27</f>
        <v>1421421857.1724999</v>
      </c>
      <c r="F23" s="18">
        <f t="shared" si="0"/>
        <v>0.72789946858847776</v>
      </c>
      <c r="G23" s="457"/>
      <c r="H23" s="19" t="s">
        <v>39</v>
      </c>
      <c r="I23" s="17"/>
      <c r="J23" s="451"/>
      <c r="K23" s="451"/>
      <c r="L23" s="20"/>
      <c r="M23" s="20"/>
      <c r="N23" s="20"/>
      <c r="O23" s="20"/>
      <c r="P23" s="20"/>
      <c r="Q23" s="21"/>
      <c r="R23" s="21"/>
      <c r="S23" s="21"/>
      <c r="T23" s="21"/>
    </row>
    <row r="24" spans="1:20" ht="12" customHeight="1" x14ac:dyDescent="0.25">
      <c r="A24" s="449"/>
      <c r="B24" s="506"/>
      <c r="C24" s="137" t="s">
        <v>30</v>
      </c>
      <c r="D24" s="15">
        <f>D39+D94+D144+D204-D224+D254+D264+D304+D329+D359</f>
        <v>680240959.46000004</v>
      </c>
      <c r="E24" s="132">
        <f>E39+E94+E144+E204-E224+E254+E264+E304+E329+E359</f>
        <v>503545438.26249999</v>
      </c>
      <c r="F24" s="15">
        <f t="shared" si="0"/>
        <v>0.7402456897953229</v>
      </c>
      <c r="G24" s="457"/>
      <c r="H24" s="156" t="s">
        <v>31</v>
      </c>
      <c r="I24" s="137"/>
      <c r="J24" s="451"/>
      <c r="K24" s="451"/>
    </row>
    <row r="25" spans="1:20" ht="12" customHeight="1" x14ac:dyDescent="0.25">
      <c r="A25" s="449"/>
      <c r="B25" s="506"/>
      <c r="C25" s="137" t="s">
        <v>32</v>
      </c>
      <c r="D25" s="15">
        <f t="shared" ref="D25:E27" si="2">D40+D95+D145+D205-D225+D255+D265+D305+D330+D360</f>
        <v>1056825972.99</v>
      </c>
      <c r="E25" s="132">
        <f t="shared" si="2"/>
        <v>769759709.16999996</v>
      </c>
      <c r="F25" s="15">
        <f t="shared" si="0"/>
        <v>0.72836940881777856</v>
      </c>
      <c r="G25" s="457"/>
      <c r="H25" s="156" t="s">
        <v>33</v>
      </c>
      <c r="I25" s="137"/>
      <c r="J25" s="451"/>
      <c r="K25" s="451"/>
    </row>
    <row r="26" spans="1:20" ht="12" customHeight="1" x14ac:dyDescent="0.25">
      <c r="A26" s="449"/>
      <c r="B26" s="506"/>
      <c r="C26" s="137" t="s">
        <v>34</v>
      </c>
      <c r="D26" s="15">
        <f t="shared" si="2"/>
        <v>87836675</v>
      </c>
      <c r="E26" s="132">
        <f t="shared" si="2"/>
        <v>67673335.439999998</v>
      </c>
      <c r="F26" s="15">
        <f t="shared" si="0"/>
        <v>0.77044509528622296</v>
      </c>
      <c r="G26" s="457"/>
      <c r="H26" s="156" t="s">
        <v>35</v>
      </c>
      <c r="I26" s="137"/>
      <c r="J26" s="451"/>
      <c r="K26" s="451"/>
    </row>
    <row r="27" spans="1:20" ht="12" customHeight="1" x14ac:dyDescent="0.25">
      <c r="A27" s="449"/>
      <c r="B27" s="506"/>
      <c r="C27" s="137" t="s">
        <v>36</v>
      </c>
      <c r="D27" s="15">
        <f t="shared" si="2"/>
        <v>127868607</v>
      </c>
      <c r="E27" s="15">
        <f>E42+E97+E147+E207-E227+E257+E267+E307+E332+E362</f>
        <v>80443374.300000012</v>
      </c>
      <c r="F27" s="15">
        <f t="shared" si="0"/>
        <v>0.62910964768701993</v>
      </c>
      <c r="G27" s="457"/>
      <c r="H27" s="156" t="s">
        <v>37</v>
      </c>
      <c r="I27" s="137"/>
      <c r="J27" s="451"/>
      <c r="K27" s="451"/>
    </row>
    <row r="28" spans="1:20" ht="12" customHeight="1" x14ac:dyDescent="0.25">
      <c r="A28" s="449"/>
      <c r="B28" s="506" t="s">
        <v>40</v>
      </c>
      <c r="C28" s="137" t="s">
        <v>28</v>
      </c>
      <c r="D28" s="15">
        <f>D29+D30+D31+D32</f>
        <v>106603015.96000002</v>
      </c>
      <c r="E28" s="15">
        <f>E29+E30+E31+E32</f>
        <v>0</v>
      </c>
      <c r="F28" s="15">
        <f t="shared" si="0"/>
        <v>0</v>
      </c>
      <c r="G28" s="457"/>
      <c r="H28" s="156" t="s">
        <v>39</v>
      </c>
      <c r="I28" s="137"/>
      <c r="J28" s="451"/>
      <c r="K28" s="451"/>
    </row>
    <row r="29" spans="1:20" ht="12" customHeight="1" x14ac:dyDescent="0.25">
      <c r="A29" s="449"/>
      <c r="B29" s="506"/>
      <c r="C29" s="137" t="s">
        <v>30</v>
      </c>
      <c r="D29" s="15">
        <f>D174+D224+D229</f>
        <v>86237532.500000015</v>
      </c>
      <c r="E29" s="15">
        <f>E174+E175</f>
        <v>0</v>
      </c>
      <c r="F29" s="15">
        <f t="shared" si="0"/>
        <v>0</v>
      </c>
      <c r="G29" s="457"/>
      <c r="H29" s="156" t="s">
        <v>31</v>
      </c>
      <c r="I29" s="137"/>
      <c r="J29" s="451"/>
      <c r="K29" s="451"/>
    </row>
    <row r="30" spans="1:20" ht="12" customHeight="1" x14ac:dyDescent="0.25">
      <c r="A30" s="449"/>
      <c r="B30" s="506"/>
      <c r="C30" s="137" t="s">
        <v>32</v>
      </c>
      <c r="D30" s="15">
        <f t="shared" ref="D30:D32" si="3">D175+D225+D230</f>
        <v>10358347.600000001</v>
      </c>
      <c r="E30" s="15">
        <f t="shared" ref="E30:E32" si="4">E175+E176</f>
        <v>0</v>
      </c>
      <c r="F30" s="15">
        <f t="shared" si="0"/>
        <v>0</v>
      </c>
      <c r="G30" s="457"/>
      <c r="H30" s="156" t="s">
        <v>33</v>
      </c>
      <c r="I30" s="137"/>
      <c r="J30" s="451"/>
      <c r="K30" s="451"/>
    </row>
    <row r="31" spans="1:20" ht="12" customHeight="1" x14ac:dyDescent="0.25">
      <c r="A31" s="449"/>
      <c r="B31" s="506"/>
      <c r="C31" s="137" t="s">
        <v>34</v>
      </c>
      <c r="D31" s="15">
        <f t="shared" si="3"/>
        <v>6514425.8600000003</v>
      </c>
      <c r="E31" s="15">
        <f t="shared" si="4"/>
        <v>0</v>
      </c>
      <c r="F31" s="15">
        <f t="shared" si="0"/>
        <v>0</v>
      </c>
      <c r="G31" s="457"/>
      <c r="H31" s="156" t="s">
        <v>35</v>
      </c>
      <c r="I31" s="137"/>
      <c r="J31" s="451"/>
      <c r="K31" s="451"/>
    </row>
    <row r="32" spans="1:20" ht="12" customHeight="1" x14ac:dyDescent="0.25">
      <c r="A32" s="449"/>
      <c r="B32" s="506"/>
      <c r="C32" s="137" t="s">
        <v>36</v>
      </c>
      <c r="D32" s="15">
        <f t="shared" si="3"/>
        <v>3492710</v>
      </c>
      <c r="E32" s="15">
        <f t="shared" si="4"/>
        <v>0</v>
      </c>
      <c r="F32" s="15">
        <f t="shared" si="0"/>
        <v>0</v>
      </c>
      <c r="G32" s="457"/>
      <c r="H32" s="156" t="s">
        <v>37</v>
      </c>
      <c r="I32" s="137"/>
      <c r="J32" s="451"/>
      <c r="K32" s="451"/>
    </row>
    <row r="33" spans="1:20" s="22" customFormat="1" ht="12" customHeight="1" x14ac:dyDescent="0.25">
      <c r="A33" s="449"/>
      <c r="B33" s="506" t="s">
        <v>41</v>
      </c>
      <c r="C33" s="17" t="s">
        <v>28</v>
      </c>
      <c r="D33" s="18">
        <f>D34+D35+D36+D37</f>
        <v>52814449.350000001</v>
      </c>
      <c r="E33" s="18">
        <f>E34+E35+E36+E37</f>
        <v>0</v>
      </c>
      <c r="F33" s="18">
        <f t="shared" si="0"/>
        <v>0</v>
      </c>
      <c r="G33" s="457"/>
      <c r="H33" s="19" t="s">
        <v>39</v>
      </c>
      <c r="I33" s="17"/>
      <c r="J33" s="451"/>
      <c r="K33" s="451"/>
      <c r="L33" s="20"/>
      <c r="M33" s="20"/>
      <c r="N33" s="20"/>
      <c r="O33" s="20"/>
      <c r="P33" s="20"/>
      <c r="Q33" s="21"/>
      <c r="R33" s="21"/>
      <c r="S33" s="21"/>
      <c r="T33" s="21"/>
    </row>
    <row r="34" spans="1:20" ht="12" customHeight="1" x14ac:dyDescent="0.25">
      <c r="A34" s="449"/>
      <c r="B34" s="506"/>
      <c r="C34" s="137" t="s">
        <v>30</v>
      </c>
      <c r="D34" s="15">
        <f>D319</f>
        <v>50084449.350000001</v>
      </c>
      <c r="E34" s="15">
        <f>E174</f>
        <v>0</v>
      </c>
      <c r="F34" s="15">
        <f t="shared" si="0"/>
        <v>0</v>
      </c>
      <c r="G34" s="457"/>
      <c r="H34" s="156" t="s">
        <v>31</v>
      </c>
      <c r="I34" s="137"/>
      <c r="J34" s="451"/>
      <c r="K34" s="451"/>
    </row>
    <row r="35" spans="1:20" ht="12" customHeight="1" x14ac:dyDescent="0.25">
      <c r="A35" s="449"/>
      <c r="B35" s="506"/>
      <c r="C35" s="137" t="s">
        <v>32</v>
      </c>
      <c r="D35" s="15">
        <f t="shared" ref="D35:D37" si="5">D320</f>
        <v>0</v>
      </c>
      <c r="E35" s="15">
        <f t="shared" ref="E35:E37" si="6">E175</f>
        <v>0</v>
      </c>
      <c r="F35" s="15">
        <v>0</v>
      </c>
      <c r="G35" s="457"/>
      <c r="H35" s="156" t="s">
        <v>33</v>
      </c>
      <c r="I35" s="137"/>
      <c r="J35" s="451"/>
      <c r="K35" s="451"/>
    </row>
    <row r="36" spans="1:20" ht="12" customHeight="1" x14ac:dyDescent="0.25">
      <c r="A36" s="449"/>
      <c r="B36" s="506"/>
      <c r="C36" s="137" t="s">
        <v>34</v>
      </c>
      <c r="D36" s="15">
        <f t="shared" si="5"/>
        <v>0</v>
      </c>
      <c r="E36" s="15">
        <f t="shared" si="6"/>
        <v>0</v>
      </c>
      <c r="F36" s="15">
        <v>0</v>
      </c>
      <c r="G36" s="457"/>
      <c r="H36" s="156" t="s">
        <v>35</v>
      </c>
      <c r="I36" s="137"/>
      <c r="J36" s="451"/>
      <c r="K36" s="451"/>
    </row>
    <row r="37" spans="1:20" ht="12" customHeight="1" x14ac:dyDescent="0.25">
      <c r="A37" s="449"/>
      <c r="B37" s="506"/>
      <c r="C37" s="137" t="s">
        <v>36</v>
      </c>
      <c r="D37" s="15">
        <f t="shared" si="5"/>
        <v>2730000</v>
      </c>
      <c r="E37" s="15">
        <f t="shared" si="6"/>
        <v>0</v>
      </c>
      <c r="F37" s="15">
        <f t="shared" si="0"/>
        <v>0</v>
      </c>
      <c r="G37" s="457"/>
      <c r="H37" s="156" t="s">
        <v>37</v>
      </c>
      <c r="I37" s="137"/>
      <c r="J37" s="451"/>
      <c r="K37" s="451"/>
    </row>
    <row r="38" spans="1:20" ht="12" customHeight="1" x14ac:dyDescent="0.25">
      <c r="A38" s="507" t="s">
        <v>42</v>
      </c>
      <c r="B38" s="508" t="s">
        <v>43</v>
      </c>
      <c r="C38" s="155" t="s">
        <v>28</v>
      </c>
      <c r="D38" s="25">
        <f>D39+D40+D41+D42</f>
        <v>781766016.58000004</v>
      </c>
      <c r="E38" s="25">
        <f>E39+E40+E41+E42</f>
        <v>559384005.38000011</v>
      </c>
      <c r="F38" s="25">
        <f>E38/D38</f>
        <v>0.71553891255997948</v>
      </c>
      <c r="G38" s="509"/>
      <c r="H38" s="154" t="s">
        <v>39</v>
      </c>
      <c r="I38" s="155"/>
      <c r="J38" s="510"/>
      <c r="K38" s="510"/>
    </row>
    <row r="39" spans="1:20" ht="12" customHeight="1" x14ac:dyDescent="0.25">
      <c r="A39" s="507"/>
      <c r="B39" s="508"/>
      <c r="C39" s="155" t="s">
        <v>30</v>
      </c>
      <c r="D39" s="25">
        <f>D44+D74</f>
        <v>252137771.53000003</v>
      </c>
      <c r="E39" s="25">
        <f>E44+E74</f>
        <v>184580364.27000004</v>
      </c>
      <c r="F39" s="25">
        <f t="shared" ref="F39:F42" si="7">E39/D39</f>
        <v>0.73206153584187672</v>
      </c>
      <c r="G39" s="509"/>
      <c r="H39" s="154" t="s">
        <v>31</v>
      </c>
      <c r="I39" s="155"/>
      <c r="J39" s="510"/>
      <c r="K39" s="510"/>
      <c r="L39" s="7">
        <f>'[3]01 10 2021'!H9+'[3]01 10 2021'!H10+'[3]01 10 2021'!H11+'[3]01 10 2021'!H12+'[3]01 10 2021'!H72+'[3]01 10 2021'!H73+'[3]01 10 2021'!H17+'[3]01 10 2021'!H18+'[3]01 10 2021'!H19+'[3]01 10 2021'!H20+'[3]01 10 2021'!H21+'[3]01 10 2021'!H22+'[3]01 10 2021'!H23</f>
        <v>278896881.53000009</v>
      </c>
      <c r="M39" s="7">
        <f>'[3]01 10 2021'!I9+'[3]01 10 2021'!I10+'[3]01 10 2021'!I11+'[3]01 10 2021'!I12+'[3]01 10 2021'!I72+'[3]01 10 2021'!I73+'[3]01 10 2021'!I17+'[3]01 10 2021'!I18+'[3]01 10 2021'!I19+'[3]01 10 2021'!I20+'[3]01 10 2021'!I21+'[3]01 10 2021'!I22+'[3]01 10 2021'!I23</f>
        <v>0</v>
      </c>
      <c r="N39" s="7">
        <f>'[3]01 10 2021'!J9+'[3]01 10 2021'!J10+'[3]01 10 2021'!J11+'[3]01 10 2021'!J12+'[3]01 10 2021'!J72+'[3]01 10 2021'!J73+'[3]01 10 2021'!J17+'[3]01 10 2021'!J18+'[3]01 10 2021'!J19+'[3]01 10 2021'!J20+'[3]01 10 2021'!J21+'[3]01 10 2021'!J22+'[3]01 10 2021'!J23</f>
        <v>278896881.53000009</v>
      </c>
      <c r="O39" s="7">
        <f>'[3]01 10 2021'!K9+'[3]01 10 2021'!K10+'[3]01 10 2021'!K11+'[3]01 10 2021'!K12+'[3]01 10 2021'!K72+'[3]01 10 2021'!K73+'[3]01 10 2021'!K17+'[3]01 10 2021'!K18+'[3]01 10 2021'!K19+'[3]01 10 2021'!K20+'[3]01 10 2021'!K21+'[3]01 10 2021'!K22+'[3]01 10 2021'!K23</f>
        <v>198277478.27000004</v>
      </c>
      <c r="P39" s="7">
        <f>'[3]01 10 2021'!L9+'[3]01 10 2021'!L10+'[3]01 10 2021'!L11+'[3]01 10 2021'!L12+'[3]01 10 2021'!L72+'[3]01 10 2021'!L73+'[3]01 10 2021'!L17+'[3]01 10 2021'!L18+'[3]01 10 2021'!L19+'[3]01 10 2021'!L20+'[3]01 10 2021'!L21+'[3]01 10 2021'!L22+'[3]01 10 2021'!L23</f>
        <v>80619403.260000005</v>
      </c>
      <c r="Q39" s="7">
        <f>'[3]01 10 2021'!M9+'[3]01 10 2021'!M10+'[3]01 10 2021'!M11+'[3]01 10 2021'!M12+'[3]01 10 2021'!M72+'[3]01 10 2021'!M73+'[3]01 10 2021'!M17+'[3]01 10 2021'!M18+'[3]01 10 2021'!M19+'[3]01 10 2021'!M20+'[3]01 10 2021'!M21+'[3]01 10 2021'!M22+'[3]01 10 2021'!M23</f>
        <v>198277478.27000004</v>
      </c>
    </row>
    <row r="40" spans="1:20" ht="12" customHeight="1" x14ac:dyDescent="0.25">
      <c r="A40" s="507"/>
      <c r="B40" s="508"/>
      <c r="C40" s="155" t="s">
        <v>32</v>
      </c>
      <c r="D40" s="25">
        <f t="shared" ref="D40:E42" si="8">D45+D75</f>
        <v>465562687.05000001</v>
      </c>
      <c r="E40" s="25">
        <f t="shared" si="8"/>
        <v>335159525.72000003</v>
      </c>
      <c r="F40" s="25">
        <f t="shared" si="7"/>
        <v>0.71990203476939063</v>
      </c>
      <c r="G40" s="509"/>
      <c r="H40" s="154" t="s">
        <v>33</v>
      </c>
      <c r="I40" s="155"/>
      <c r="J40" s="510"/>
      <c r="K40" s="510"/>
      <c r="L40" s="7">
        <f>'[3]01 10 2021'!H15+'[3]01 10 2021'!H16+'[3]01 10 2021'!H13+'[3]01 10 2021'!H14+'[3]01 10 2021'!H74+'[3]01 10 2021'!H75+'[3]01 10 2021'!H113+'[3]01 10 2021'!H114+'[3]01 10 2021'!H115+'[3]01 10 2021'!H116</f>
        <v>447157847.22000003</v>
      </c>
      <c r="M40" s="7">
        <f>'[3]01 10 2021'!I15+'[3]01 10 2021'!I16+'[3]01 10 2021'!I13+'[3]01 10 2021'!I14+'[3]01 10 2021'!I74+'[3]01 10 2021'!I75+'[3]01 10 2021'!I113+'[3]01 10 2021'!I114+'[3]01 10 2021'!I115+'[3]01 10 2021'!I116</f>
        <v>0</v>
      </c>
      <c r="N40" s="7">
        <f>'[3]01 10 2021'!J15+'[3]01 10 2021'!J16+'[3]01 10 2021'!J13+'[3]01 10 2021'!J14+'[3]01 10 2021'!J74+'[3]01 10 2021'!J75+'[3]01 10 2021'!J113+'[3]01 10 2021'!J114+'[3]01 10 2021'!J115+'[3]01 10 2021'!J116</f>
        <v>447157847.22000003</v>
      </c>
      <c r="O40" s="7">
        <f>'[3]01 10 2021'!K15+'[3]01 10 2021'!K16+'[3]01 10 2021'!K13+'[3]01 10 2021'!K14+'[3]01 10 2021'!K74+'[3]01 10 2021'!K75+'[3]01 10 2021'!K113+'[3]01 10 2021'!K114+'[3]01 10 2021'!K115+'[3]01 10 2021'!K116</f>
        <v>325179630.74000001</v>
      </c>
      <c r="P40" s="7">
        <f>'[3]01 10 2021'!L15+'[3]01 10 2021'!L16+'[3]01 10 2021'!L13+'[3]01 10 2021'!L14+'[3]01 10 2021'!L74+'[3]01 10 2021'!L75+'[3]01 10 2021'!L113+'[3]01 10 2021'!L114+'[3]01 10 2021'!L115+'[3]01 10 2021'!L116</f>
        <v>121978216.48000002</v>
      </c>
      <c r="Q40" s="7">
        <f>'[3]01 10 2021'!M15+'[3]01 10 2021'!M16+'[3]01 10 2021'!M13+'[3]01 10 2021'!M14+'[3]01 10 2021'!M74+'[3]01 10 2021'!M75+'[3]01 10 2021'!M113+'[3]01 10 2021'!M114+'[3]01 10 2021'!M115+'[3]01 10 2021'!M116</f>
        <v>325179630.74000001</v>
      </c>
    </row>
    <row r="41" spans="1:20" ht="12" customHeight="1" x14ac:dyDescent="0.25">
      <c r="A41" s="507"/>
      <c r="B41" s="508"/>
      <c r="C41" s="155" t="s">
        <v>34</v>
      </c>
      <c r="D41" s="25">
        <f t="shared" si="8"/>
        <v>0</v>
      </c>
      <c r="E41" s="25">
        <f t="shared" si="8"/>
        <v>0</v>
      </c>
      <c r="F41" s="25">
        <v>0</v>
      </c>
      <c r="G41" s="509"/>
      <c r="H41" s="154" t="s">
        <v>35</v>
      </c>
      <c r="I41" s="155"/>
      <c r="J41" s="510"/>
      <c r="K41" s="510"/>
    </row>
    <row r="42" spans="1:20" ht="12" customHeight="1" x14ac:dyDescent="0.25">
      <c r="A42" s="507"/>
      <c r="B42" s="508"/>
      <c r="C42" s="155" t="s">
        <v>36</v>
      </c>
      <c r="D42" s="25">
        <f t="shared" si="8"/>
        <v>64065558</v>
      </c>
      <c r="E42" s="25">
        <f t="shared" si="8"/>
        <v>39644115.390000008</v>
      </c>
      <c r="F42" s="25">
        <f t="shared" si="7"/>
        <v>0.61880543349048811</v>
      </c>
      <c r="G42" s="509"/>
      <c r="H42" s="154" t="s">
        <v>37</v>
      </c>
      <c r="I42" s="155"/>
      <c r="J42" s="510"/>
      <c r="K42" s="510"/>
    </row>
    <row r="43" spans="1:20" s="22" customFormat="1" ht="12" customHeight="1" x14ac:dyDescent="0.25">
      <c r="A43" s="502" t="s">
        <v>44</v>
      </c>
      <c r="B43" s="503" t="s">
        <v>45</v>
      </c>
      <c r="C43" s="27" t="s">
        <v>28</v>
      </c>
      <c r="D43" s="28">
        <f>D44+D45+D46+D47</f>
        <v>780063994.58000004</v>
      </c>
      <c r="E43" s="28">
        <f>E44+E45+E46+E47</f>
        <v>557686005.38000011</v>
      </c>
      <c r="F43" s="28">
        <f>E43/D43</f>
        <v>0.71492340276552302</v>
      </c>
      <c r="G43" s="504"/>
      <c r="H43" s="29" t="s">
        <v>39</v>
      </c>
      <c r="I43" s="27"/>
      <c r="J43" s="505"/>
      <c r="K43" s="505"/>
      <c r="L43" s="20"/>
      <c r="M43" s="20"/>
      <c r="N43" s="20"/>
      <c r="O43" s="20"/>
      <c r="P43" s="20"/>
      <c r="Q43" s="21"/>
      <c r="R43" s="21"/>
      <c r="S43" s="21"/>
      <c r="T43" s="21"/>
    </row>
    <row r="44" spans="1:20" ht="12" customHeight="1" x14ac:dyDescent="0.25">
      <c r="A44" s="502"/>
      <c r="B44" s="503"/>
      <c r="C44" s="153" t="s">
        <v>30</v>
      </c>
      <c r="D44" s="31">
        <f>D49+D54+D59+D64+D69</f>
        <v>250435749.53000003</v>
      </c>
      <c r="E44" s="31">
        <f>E49+E54+E59+E64+E69</f>
        <v>182882364.27000004</v>
      </c>
      <c r="F44" s="31">
        <f t="shared" ref="F44:F70" si="9">E44/D44</f>
        <v>0.73025662116219681</v>
      </c>
      <c r="G44" s="504"/>
      <c r="H44" s="32" t="s">
        <v>31</v>
      </c>
      <c r="I44" s="153"/>
      <c r="J44" s="505"/>
      <c r="K44" s="505"/>
    </row>
    <row r="45" spans="1:20" ht="12" customHeight="1" x14ac:dyDescent="0.25">
      <c r="A45" s="502"/>
      <c r="B45" s="503"/>
      <c r="C45" s="153" t="s">
        <v>32</v>
      </c>
      <c r="D45" s="31">
        <f t="shared" ref="D45:E47" si="10">D50+D55+D60+D65+D70</f>
        <v>465562687.05000001</v>
      </c>
      <c r="E45" s="31">
        <f t="shared" si="10"/>
        <v>335159525.72000003</v>
      </c>
      <c r="F45" s="31">
        <f t="shared" si="9"/>
        <v>0.71990203476939063</v>
      </c>
      <c r="G45" s="504"/>
      <c r="H45" s="32" t="s">
        <v>33</v>
      </c>
      <c r="I45" s="153"/>
      <c r="J45" s="505"/>
      <c r="K45" s="505"/>
    </row>
    <row r="46" spans="1:20" ht="12" customHeight="1" x14ac:dyDescent="0.25">
      <c r="A46" s="502"/>
      <c r="B46" s="503"/>
      <c r="C46" s="153" t="s">
        <v>34</v>
      </c>
      <c r="D46" s="31">
        <f t="shared" si="10"/>
        <v>0</v>
      </c>
      <c r="E46" s="31">
        <f t="shared" si="10"/>
        <v>0</v>
      </c>
      <c r="F46" s="31">
        <v>0</v>
      </c>
      <c r="G46" s="504"/>
      <c r="H46" s="32" t="s">
        <v>35</v>
      </c>
      <c r="I46" s="153"/>
      <c r="J46" s="505"/>
      <c r="K46" s="505"/>
    </row>
    <row r="47" spans="1:20" ht="12" customHeight="1" x14ac:dyDescent="0.25">
      <c r="A47" s="502"/>
      <c r="B47" s="503"/>
      <c r="C47" s="153" t="s">
        <v>36</v>
      </c>
      <c r="D47" s="31">
        <f t="shared" si="10"/>
        <v>64065558</v>
      </c>
      <c r="E47" s="31">
        <f t="shared" si="10"/>
        <v>39644115.390000008</v>
      </c>
      <c r="F47" s="31">
        <f t="shared" si="9"/>
        <v>0.61880543349048811</v>
      </c>
      <c r="G47" s="504"/>
      <c r="H47" s="32" t="s">
        <v>37</v>
      </c>
      <c r="I47" s="153"/>
      <c r="J47" s="505"/>
      <c r="K47" s="505"/>
    </row>
    <row r="48" spans="1:20" s="22" customFormat="1" ht="12" customHeight="1" x14ac:dyDescent="0.25">
      <c r="A48" s="449" t="s">
        <v>46</v>
      </c>
      <c r="B48" s="450" t="s">
        <v>47</v>
      </c>
      <c r="C48" s="17" t="s">
        <v>28</v>
      </c>
      <c r="D48" s="18">
        <f>D49+D50+D51+D52</f>
        <v>430952120</v>
      </c>
      <c r="E48" s="18">
        <f>E49+E50+E51+E52</f>
        <v>314500561.69999999</v>
      </c>
      <c r="F48" s="18">
        <f t="shared" si="9"/>
        <v>0.72978075081751537</v>
      </c>
      <c r="G48" s="450" t="s">
        <v>48</v>
      </c>
      <c r="H48" s="450" t="s">
        <v>49</v>
      </c>
      <c r="I48" s="449" t="s">
        <v>50</v>
      </c>
      <c r="J48" s="451"/>
      <c r="K48" s="451"/>
      <c r="L48" s="20"/>
      <c r="M48" s="20"/>
      <c r="N48" s="20"/>
      <c r="O48" s="20"/>
      <c r="P48" s="20"/>
      <c r="Q48" s="21"/>
      <c r="R48" s="21"/>
      <c r="S48" s="21"/>
      <c r="T48" s="21"/>
    </row>
    <row r="49" spans="1:20" ht="12" customHeight="1" x14ac:dyDescent="0.25">
      <c r="A49" s="449"/>
      <c r="B49" s="450"/>
      <c r="C49" s="137" t="s">
        <v>30</v>
      </c>
      <c r="D49" s="15">
        <f>'[3]табл.8 11.10.21'!H25</f>
        <v>0</v>
      </c>
      <c r="E49" s="15">
        <v>0</v>
      </c>
      <c r="F49" s="15">
        <v>0</v>
      </c>
      <c r="G49" s="450"/>
      <c r="H49" s="450"/>
      <c r="I49" s="449"/>
      <c r="J49" s="451"/>
      <c r="K49" s="451"/>
    </row>
    <row r="50" spans="1:20" ht="12" customHeight="1" x14ac:dyDescent="0.25">
      <c r="A50" s="449"/>
      <c r="B50" s="450"/>
      <c r="C50" s="137" t="s">
        <v>32</v>
      </c>
      <c r="D50" s="15">
        <f>'[3]табл.8 11.10.21'!F25</f>
        <v>430952120</v>
      </c>
      <c r="E50" s="33">
        <f>'[3]01 10 2021'!M15+'[3]01 10 2021'!M16+'[3]01 10 2021'!M78+'[3]01 10 2021'!M79</f>
        <v>314500561.69999999</v>
      </c>
      <c r="F50" s="15">
        <f t="shared" si="9"/>
        <v>0.72978075081751537</v>
      </c>
      <c r="G50" s="450"/>
      <c r="H50" s="450"/>
      <c r="I50" s="449"/>
      <c r="J50" s="451"/>
      <c r="K50" s="451"/>
    </row>
    <row r="51" spans="1:20" ht="12" customHeight="1" x14ac:dyDescent="0.25">
      <c r="A51" s="449"/>
      <c r="B51" s="450"/>
      <c r="C51" s="137" t="s">
        <v>34</v>
      </c>
      <c r="D51" s="15">
        <f>'[3]табл.8 11.10.21'!G25</f>
        <v>0</v>
      </c>
      <c r="E51" s="15">
        <v>0</v>
      </c>
      <c r="F51" s="15">
        <v>0</v>
      </c>
      <c r="G51" s="450"/>
      <c r="H51" s="450"/>
      <c r="I51" s="449"/>
      <c r="J51" s="451"/>
      <c r="K51" s="451"/>
    </row>
    <row r="52" spans="1:20" ht="12" customHeight="1" x14ac:dyDescent="0.25">
      <c r="A52" s="449"/>
      <c r="B52" s="450"/>
      <c r="C52" s="137" t="s">
        <v>36</v>
      </c>
      <c r="D52" s="15">
        <f>'[3]табл.8 11.10.21'!I25</f>
        <v>0</v>
      </c>
      <c r="E52" s="15">
        <v>0</v>
      </c>
      <c r="F52" s="15">
        <v>0</v>
      </c>
      <c r="G52" s="450"/>
      <c r="H52" s="450"/>
      <c r="I52" s="449"/>
      <c r="J52" s="451"/>
      <c r="K52" s="451"/>
    </row>
    <row r="53" spans="1:20" s="22" customFormat="1" ht="12" customHeight="1" x14ac:dyDescent="0.25">
      <c r="A53" s="449" t="s">
        <v>51</v>
      </c>
      <c r="B53" s="450" t="s">
        <v>52</v>
      </c>
      <c r="C53" s="17" t="s">
        <v>28</v>
      </c>
      <c r="D53" s="18">
        <f>D54+D55+D56+D57</f>
        <v>306947614.29000002</v>
      </c>
      <c r="E53" s="18">
        <f>E54+E55+E56+E57</f>
        <v>216856789.11000004</v>
      </c>
      <c r="F53" s="18">
        <f t="shared" si="9"/>
        <v>0.70649446033848839</v>
      </c>
      <c r="G53" s="450" t="s">
        <v>48</v>
      </c>
      <c r="H53" s="450" t="s">
        <v>49</v>
      </c>
      <c r="I53" s="449" t="s">
        <v>50</v>
      </c>
      <c r="J53" s="451"/>
      <c r="K53" s="451"/>
      <c r="L53" s="20"/>
      <c r="M53" s="20"/>
      <c r="N53" s="20"/>
      <c r="O53" s="20"/>
      <c r="P53" s="20"/>
      <c r="Q53" s="21"/>
      <c r="R53" s="21"/>
      <c r="S53" s="21"/>
      <c r="T53" s="21"/>
    </row>
    <row r="54" spans="1:20" ht="12" customHeight="1" x14ac:dyDescent="0.25">
      <c r="A54" s="449"/>
      <c r="B54" s="450"/>
      <c r="C54" s="137" t="s">
        <v>30</v>
      </c>
      <c r="D54" s="15">
        <f>'[3]табл.8 11.10.21'!H31</f>
        <v>242882056.29000002</v>
      </c>
      <c r="E54" s="33">
        <f>'[3]01 10 2021'!M9+'[3]01 10 2021'!M10+'[3]01 10 2021'!M11+'[3]01 10 2021'!M12+'[3]01 10 2021'!M76+'[3]01 10 2021'!M77</f>
        <v>177212673.72000003</v>
      </c>
      <c r="F54" s="15">
        <f t="shared" si="9"/>
        <v>0.72962439641242549</v>
      </c>
      <c r="G54" s="450"/>
      <c r="H54" s="450"/>
      <c r="I54" s="449"/>
      <c r="J54" s="451"/>
      <c r="K54" s="451"/>
    </row>
    <row r="55" spans="1:20" ht="12" customHeight="1" x14ac:dyDescent="0.25">
      <c r="A55" s="449"/>
      <c r="B55" s="450"/>
      <c r="C55" s="137" t="s">
        <v>32</v>
      </c>
      <c r="D55" s="15">
        <f>'[3]табл.8 11.10.21'!F31</f>
        <v>0</v>
      </c>
      <c r="E55" s="15">
        <v>0</v>
      </c>
      <c r="F55" s="15">
        <v>0</v>
      </c>
      <c r="G55" s="450"/>
      <c r="H55" s="450"/>
      <c r="I55" s="449"/>
      <c r="J55" s="451"/>
      <c r="K55" s="451"/>
    </row>
    <row r="56" spans="1:20" ht="12" customHeight="1" x14ac:dyDescent="0.25">
      <c r="A56" s="449"/>
      <c r="B56" s="450"/>
      <c r="C56" s="137" t="s">
        <v>34</v>
      </c>
      <c r="D56" s="15">
        <f>'[3]табл.8 11.10.21'!G31</f>
        <v>0</v>
      </c>
      <c r="E56" s="15">
        <v>0</v>
      </c>
      <c r="F56" s="15">
        <v>0</v>
      </c>
      <c r="G56" s="450"/>
      <c r="H56" s="450"/>
      <c r="I56" s="449"/>
      <c r="J56" s="451"/>
      <c r="K56" s="451"/>
    </row>
    <row r="57" spans="1:20" ht="12" customHeight="1" x14ac:dyDescent="0.25">
      <c r="A57" s="449"/>
      <c r="B57" s="450"/>
      <c r="C57" s="137" t="s">
        <v>36</v>
      </c>
      <c r="D57" s="15">
        <f>'[3]табл.8 11.10.21'!I31</f>
        <v>64065558</v>
      </c>
      <c r="E57" s="33">
        <f>'[4]01.10.'!$I$46</f>
        <v>39644115.390000008</v>
      </c>
      <c r="F57" s="15">
        <f t="shared" si="9"/>
        <v>0.61880543349048811</v>
      </c>
      <c r="G57" s="450"/>
      <c r="H57" s="450"/>
      <c r="I57" s="449"/>
      <c r="J57" s="451"/>
      <c r="K57" s="451"/>
    </row>
    <row r="58" spans="1:20" s="22" customFormat="1" ht="12" customHeight="1" x14ac:dyDescent="0.25">
      <c r="A58" s="449" t="s">
        <v>53</v>
      </c>
      <c r="B58" s="450" t="s">
        <v>54</v>
      </c>
      <c r="C58" s="17" t="s">
        <v>28</v>
      </c>
      <c r="D58" s="18">
        <f>D59+D60+D61+D62</f>
        <v>505000</v>
      </c>
      <c r="E58" s="18">
        <f>E59+E60+E61+E62</f>
        <v>180607.86</v>
      </c>
      <c r="F58" s="18">
        <f t="shared" si="9"/>
        <v>0.35763932673267324</v>
      </c>
      <c r="G58" s="457"/>
      <c r="H58" s="19" t="s">
        <v>39</v>
      </c>
      <c r="I58" s="17"/>
      <c r="J58" s="451"/>
      <c r="K58" s="451"/>
      <c r="L58" s="20"/>
      <c r="M58" s="20"/>
      <c r="N58" s="20"/>
      <c r="O58" s="20"/>
      <c r="P58" s="20"/>
      <c r="Q58" s="21"/>
      <c r="R58" s="21"/>
      <c r="S58" s="21"/>
      <c r="T58" s="21"/>
    </row>
    <row r="59" spans="1:20" ht="12" customHeight="1" x14ac:dyDescent="0.25">
      <c r="A59" s="449"/>
      <c r="B59" s="450"/>
      <c r="C59" s="137" t="s">
        <v>30</v>
      </c>
      <c r="D59" s="15">
        <f>'[3]табл.8 11.10.21'!H37</f>
        <v>0</v>
      </c>
      <c r="E59" s="15"/>
      <c r="F59" s="15">
        <v>0</v>
      </c>
      <c r="G59" s="457"/>
      <c r="H59" s="156" t="s">
        <v>31</v>
      </c>
      <c r="I59" s="137"/>
      <c r="J59" s="451"/>
      <c r="K59" s="451"/>
    </row>
    <row r="60" spans="1:20" ht="12" customHeight="1" x14ac:dyDescent="0.25">
      <c r="A60" s="449"/>
      <c r="B60" s="450"/>
      <c r="C60" s="137" t="s">
        <v>32</v>
      </c>
      <c r="D60" s="15">
        <f>'[3]табл.8 11.10.21'!F37</f>
        <v>505000</v>
      </c>
      <c r="E60" s="33">
        <f>'[3]01 10 2021'!M117+'[3]01 10 2021'!M118+'[3]01 10 2021'!M119</f>
        <v>180607.86</v>
      </c>
      <c r="F60" s="15">
        <f t="shared" si="9"/>
        <v>0.35763932673267324</v>
      </c>
      <c r="G60" s="457"/>
      <c r="H60" s="156" t="s">
        <v>33</v>
      </c>
      <c r="I60" s="137"/>
      <c r="J60" s="451"/>
      <c r="K60" s="451"/>
    </row>
    <row r="61" spans="1:20" ht="12" customHeight="1" x14ac:dyDescent="0.25">
      <c r="A61" s="449"/>
      <c r="B61" s="450"/>
      <c r="C61" s="137" t="s">
        <v>34</v>
      </c>
      <c r="D61" s="15">
        <f>'[3]табл.8 11.10.21'!G37</f>
        <v>0</v>
      </c>
      <c r="E61" s="15"/>
      <c r="F61" s="15">
        <v>0</v>
      </c>
      <c r="G61" s="457"/>
      <c r="H61" s="156" t="s">
        <v>35</v>
      </c>
      <c r="I61" s="137"/>
      <c r="J61" s="451"/>
      <c r="K61" s="451"/>
    </row>
    <row r="62" spans="1:20" ht="12" customHeight="1" x14ac:dyDescent="0.25">
      <c r="A62" s="449"/>
      <c r="B62" s="450"/>
      <c r="C62" s="137" t="s">
        <v>36</v>
      </c>
      <c r="D62" s="15">
        <f>'[3]табл.8 11.10.21'!I37</f>
        <v>0</v>
      </c>
      <c r="E62" s="15"/>
      <c r="F62" s="15">
        <v>0</v>
      </c>
      <c r="G62" s="457"/>
      <c r="H62" s="156" t="s">
        <v>37</v>
      </c>
      <c r="I62" s="137"/>
      <c r="J62" s="451"/>
      <c r="K62" s="451"/>
    </row>
    <row r="63" spans="1:20" s="22" customFormat="1" ht="12" customHeight="1" x14ac:dyDescent="0.25">
      <c r="A63" s="449" t="s">
        <v>55</v>
      </c>
      <c r="B63" s="450" t="s">
        <v>56</v>
      </c>
      <c r="C63" s="17" t="s">
        <v>28</v>
      </c>
      <c r="D63" s="18">
        <f>D64+D65+D66+D67</f>
        <v>20198900</v>
      </c>
      <c r="E63" s="18">
        <f>E64+E65+E66+E67</f>
        <v>9992840.1199999992</v>
      </c>
      <c r="F63" s="18">
        <f t="shared" si="9"/>
        <v>0.4947219957522439</v>
      </c>
      <c r="G63" s="457"/>
      <c r="H63" s="19" t="s">
        <v>39</v>
      </c>
      <c r="I63" s="17"/>
      <c r="J63" s="451"/>
      <c r="K63" s="451"/>
      <c r="L63" s="20"/>
      <c r="M63" s="20"/>
      <c r="N63" s="20"/>
      <c r="O63" s="20"/>
      <c r="P63" s="20"/>
      <c r="Q63" s="21"/>
      <c r="R63" s="21"/>
      <c r="S63" s="21"/>
      <c r="T63" s="21"/>
    </row>
    <row r="64" spans="1:20" ht="12" customHeight="1" x14ac:dyDescent="0.25">
      <c r="A64" s="449"/>
      <c r="B64" s="450"/>
      <c r="C64" s="137" t="s">
        <v>30</v>
      </c>
      <c r="D64" s="15">
        <f>'[3]табл.8 11.10.21'!H43</f>
        <v>0</v>
      </c>
      <c r="E64" s="15"/>
      <c r="F64" s="15">
        <v>0</v>
      </c>
      <c r="G64" s="457"/>
      <c r="H64" s="156" t="s">
        <v>31</v>
      </c>
      <c r="I64" s="137"/>
      <c r="J64" s="451"/>
      <c r="K64" s="451"/>
    </row>
    <row r="65" spans="1:20" ht="12" customHeight="1" x14ac:dyDescent="0.25">
      <c r="A65" s="449"/>
      <c r="B65" s="450"/>
      <c r="C65" s="137" t="s">
        <v>32</v>
      </c>
      <c r="D65" s="15">
        <f>'[3]табл.8 11.10.21'!F43</f>
        <v>20198900</v>
      </c>
      <c r="E65" s="33">
        <f>'[3]01 10 2021'!M120</f>
        <v>9992840.1199999992</v>
      </c>
      <c r="F65" s="15">
        <f t="shared" si="9"/>
        <v>0.4947219957522439</v>
      </c>
      <c r="G65" s="457"/>
      <c r="H65" s="156" t="s">
        <v>33</v>
      </c>
      <c r="I65" s="137"/>
      <c r="J65" s="451"/>
      <c r="K65" s="451"/>
    </row>
    <row r="66" spans="1:20" ht="12" customHeight="1" x14ac:dyDescent="0.25">
      <c r="A66" s="449"/>
      <c r="B66" s="450"/>
      <c r="C66" s="137" t="s">
        <v>34</v>
      </c>
      <c r="D66" s="15">
        <f>'[3]табл.8 11.10.21'!G43</f>
        <v>0</v>
      </c>
      <c r="E66" s="15"/>
      <c r="F66" s="15">
        <v>0</v>
      </c>
      <c r="G66" s="457"/>
      <c r="H66" s="156" t="s">
        <v>35</v>
      </c>
      <c r="I66" s="137"/>
      <c r="J66" s="451"/>
      <c r="K66" s="451"/>
    </row>
    <row r="67" spans="1:20" ht="12" customHeight="1" x14ac:dyDescent="0.25">
      <c r="A67" s="449"/>
      <c r="B67" s="450"/>
      <c r="C67" s="137" t="s">
        <v>36</v>
      </c>
      <c r="D67" s="15">
        <f>'[3]табл.8 11.10.21'!I43</f>
        <v>0</v>
      </c>
      <c r="E67" s="15"/>
      <c r="F67" s="15">
        <v>0</v>
      </c>
      <c r="G67" s="457"/>
      <c r="H67" s="156" t="s">
        <v>37</v>
      </c>
      <c r="I67" s="137"/>
      <c r="J67" s="451"/>
      <c r="K67" s="451"/>
    </row>
    <row r="68" spans="1:20" s="22" customFormat="1" ht="15" customHeight="1" x14ac:dyDescent="0.25">
      <c r="A68" s="449" t="s">
        <v>57</v>
      </c>
      <c r="B68" s="450" t="s">
        <v>58</v>
      </c>
      <c r="C68" s="17" t="s">
        <v>28</v>
      </c>
      <c r="D68" s="18">
        <f>D69+D70+D71+D72</f>
        <v>21460360.289999999</v>
      </c>
      <c r="E68" s="18">
        <f>E69+E70+E71+E72</f>
        <v>16155206.59</v>
      </c>
      <c r="F68" s="18">
        <f t="shared" si="9"/>
        <v>0.75279288752332496</v>
      </c>
      <c r="G68" s="450" t="s">
        <v>48</v>
      </c>
      <c r="H68" s="450" t="s">
        <v>49</v>
      </c>
      <c r="I68" s="449" t="s">
        <v>50</v>
      </c>
      <c r="J68" s="451"/>
      <c r="K68" s="451"/>
      <c r="L68" s="20"/>
      <c r="M68" s="20"/>
      <c r="N68" s="20"/>
      <c r="O68" s="20"/>
      <c r="P68" s="20"/>
      <c r="Q68" s="21"/>
      <c r="R68" s="21"/>
      <c r="S68" s="21"/>
      <c r="T68" s="21"/>
    </row>
    <row r="69" spans="1:20" ht="15" customHeight="1" x14ac:dyDescent="0.25">
      <c r="A69" s="449"/>
      <c r="B69" s="450"/>
      <c r="C69" s="137" t="s">
        <v>30</v>
      </c>
      <c r="D69" s="15">
        <f>'[3]табл.8 11.10.21'!H49</f>
        <v>7553693.2400000002</v>
      </c>
      <c r="E69" s="33">
        <f>'[3]01 10 2021'!M17+'[3]01 10 2021'!M18+'[3]01 10 2021'!M19+'[3]01 10 2021'!M20</f>
        <v>5669690.5499999998</v>
      </c>
      <c r="F69" s="15">
        <f t="shared" si="9"/>
        <v>0.75058522630712488</v>
      </c>
      <c r="G69" s="450"/>
      <c r="H69" s="450"/>
      <c r="I69" s="449"/>
      <c r="J69" s="451"/>
      <c r="K69" s="451"/>
    </row>
    <row r="70" spans="1:20" ht="15" customHeight="1" x14ac:dyDescent="0.25">
      <c r="A70" s="449"/>
      <c r="B70" s="450"/>
      <c r="C70" s="137" t="s">
        <v>32</v>
      </c>
      <c r="D70" s="15">
        <f>'[3]табл.8 11.10.21'!F49</f>
        <v>13906667.049999999</v>
      </c>
      <c r="E70" s="33">
        <f>'[3]01 10 2021'!M13+'[3]01 10 2021'!M14</f>
        <v>10485516.039999999</v>
      </c>
      <c r="F70" s="15">
        <f t="shared" si="9"/>
        <v>0.75399202427874334</v>
      </c>
      <c r="G70" s="450"/>
      <c r="H70" s="450"/>
      <c r="I70" s="449"/>
      <c r="J70" s="451"/>
      <c r="K70" s="451"/>
    </row>
    <row r="71" spans="1:20" ht="15" customHeight="1" x14ac:dyDescent="0.25">
      <c r="A71" s="449"/>
      <c r="B71" s="450"/>
      <c r="C71" s="137" t="s">
        <v>34</v>
      </c>
      <c r="D71" s="15">
        <f>'[3]табл.8 11.10.21'!G49</f>
        <v>0</v>
      </c>
      <c r="E71" s="15">
        <v>0</v>
      </c>
      <c r="F71" s="15">
        <v>0</v>
      </c>
      <c r="G71" s="450"/>
      <c r="H71" s="450"/>
      <c r="I71" s="449"/>
      <c r="J71" s="451"/>
      <c r="K71" s="451"/>
    </row>
    <row r="72" spans="1:20" ht="15" customHeight="1" x14ac:dyDescent="0.25">
      <c r="A72" s="449"/>
      <c r="B72" s="450"/>
      <c r="C72" s="137" t="s">
        <v>36</v>
      </c>
      <c r="D72" s="15">
        <f>'[3]табл.8 11.10.21'!I49</f>
        <v>0</v>
      </c>
      <c r="E72" s="15">
        <v>0</v>
      </c>
      <c r="F72" s="15">
        <v>0</v>
      </c>
      <c r="G72" s="450"/>
      <c r="H72" s="450"/>
      <c r="I72" s="449"/>
      <c r="J72" s="451"/>
      <c r="K72" s="451"/>
    </row>
    <row r="73" spans="1:20" s="22" customFormat="1" ht="12" customHeight="1" x14ac:dyDescent="0.25">
      <c r="A73" s="502" t="s">
        <v>59</v>
      </c>
      <c r="B73" s="503" t="s">
        <v>60</v>
      </c>
      <c r="C73" s="27" t="s">
        <v>28</v>
      </c>
      <c r="D73" s="28">
        <f>D74+D75+D76+D77</f>
        <v>1702022</v>
      </c>
      <c r="E73" s="28">
        <f>E74+E75+E76+E77</f>
        <v>1698000</v>
      </c>
      <c r="F73" s="28">
        <f>E73/D73</f>
        <v>0.99763692831232498</v>
      </c>
      <c r="G73" s="504"/>
      <c r="H73" s="29" t="s">
        <v>39</v>
      </c>
      <c r="I73" s="27"/>
      <c r="J73" s="505"/>
      <c r="K73" s="505"/>
      <c r="L73" s="20"/>
      <c r="M73" s="20"/>
      <c r="N73" s="20"/>
      <c r="O73" s="20"/>
      <c r="P73" s="20"/>
      <c r="Q73" s="21"/>
      <c r="R73" s="21"/>
      <c r="S73" s="21"/>
      <c r="T73" s="21"/>
    </row>
    <row r="74" spans="1:20" ht="12" customHeight="1" x14ac:dyDescent="0.25">
      <c r="A74" s="502"/>
      <c r="B74" s="503"/>
      <c r="C74" s="153" t="s">
        <v>30</v>
      </c>
      <c r="D74" s="31">
        <f t="shared" ref="D74:E77" si="11">D79+D84+D89+D369+D374</f>
        <v>1702022</v>
      </c>
      <c r="E74" s="31">
        <f t="shared" si="11"/>
        <v>1698000</v>
      </c>
      <c r="F74" s="31">
        <f t="shared" ref="F74:F84" si="12">E74/D74</f>
        <v>0.99763692831232498</v>
      </c>
      <c r="G74" s="504"/>
      <c r="H74" s="32" t="s">
        <v>31</v>
      </c>
      <c r="I74" s="153"/>
      <c r="J74" s="505"/>
      <c r="K74" s="505"/>
    </row>
    <row r="75" spans="1:20" ht="12" customHeight="1" x14ac:dyDescent="0.25">
      <c r="A75" s="502"/>
      <c r="B75" s="503"/>
      <c r="C75" s="153" t="s">
        <v>32</v>
      </c>
      <c r="D75" s="31">
        <f t="shared" si="11"/>
        <v>0</v>
      </c>
      <c r="E75" s="31">
        <f>E80+E85+E90</f>
        <v>0</v>
      </c>
      <c r="F75" s="31">
        <v>0</v>
      </c>
      <c r="G75" s="504"/>
      <c r="H75" s="32" t="s">
        <v>33</v>
      </c>
      <c r="I75" s="153"/>
      <c r="J75" s="505"/>
      <c r="K75" s="505"/>
    </row>
    <row r="76" spans="1:20" ht="12" customHeight="1" x14ac:dyDescent="0.25">
      <c r="A76" s="502"/>
      <c r="B76" s="503"/>
      <c r="C76" s="153" t="s">
        <v>34</v>
      </c>
      <c r="D76" s="31">
        <f t="shared" si="11"/>
        <v>0</v>
      </c>
      <c r="E76" s="31">
        <f t="shared" si="11"/>
        <v>0</v>
      </c>
      <c r="F76" s="31">
        <v>0</v>
      </c>
      <c r="G76" s="504"/>
      <c r="H76" s="32" t="s">
        <v>35</v>
      </c>
      <c r="I76" s="153"/>
      <c r="J76" s="505"/>
      <c r="K76" s="505"/>
    </row>
    <row r="77" spans="1:20" ht="12" customHeight="1" x14ac:dyDescent="0.25">
      <c r="A77" s="502"/>
      <c r="B77" s="503"/>
      <c r="C77" s="153" t="s">
        <v>36</v>
      </c>
      <c r="D77" s="31">
        <f t="shared" si="11"/>
        <v>0</v>
      </c>
      <c r="E77" s="31">
        <f t="shared" si="11"/>
        <v>0</v>
      </c>
      <c r="F77" s="31">
        <v>0</v>
      </c>
      <c r="G77" s="504"/>
      <c r="H77" s="32" t="s">
        <v>37</v>
      </c>
      <c r="I77" s="153"/>
      <c r="J77" s="505"/>
      <c r="K77" s="505"/>
    </row>
    <row r="78" spans="1:20" s="22" customFormat="1" ht="12" customHeight="1" x14ac:dyDescent="0.25">
      <c r="A78" s="449" t="s">
        <v>61</v>
      </c>
      <c r="B78" s="450" t="s">
        <v>62</v>
      </c>
      <c r="C78" s="17" t="s">
        <v>28</v>
      </c>
      <c r="D78" s="18">
        <f>D79+D80+D81+D82</f>
        <v>0</v>
      </c>
      <c r="E78" s="18">
        <f>E79+E80+E81+E82</f>
        <v>0</v>
      </c>
      <c r="F78" s="18">
        <v>0</v>
      </c>
      <c r="G78" s="450" t="s">
        <v>48</v>
      </c>
      <c r="H78" s="450" t="s">
        <v>49</v>
      </c>
      <c r="I78" s="449" t="s">
        <v>50</v>
      </c>
      <c r="J78" s="451"/>
      <c r="K78" s="451"/>
      <c r="L78" s="20"/>
      <c r="M78" s="20"/>
      <c r="N78" s="20"/>
      <c r="O78" s="20"/>
      <c r="P78" s="20"/>
      <c r="Q78" s="21"/>
      <c r="R78" s="21"/>
      <c r="S78" s="21"/>
      <c r="T78" s="21"/>
    </row>
    <row r="79" spans="1:20" ht="12" customHeight="1" x14ac:dyDescent="0.25">
      <c r="A79" s="449"/>
      <c r="B79" s="450"/>
      <c r="C79" s="137" t="s">
        <v>30</v>
      </c>
      <c r="D79" s="15">
        <f>'[3]табл.8 11.10.21'!H61</f>
        <v>0</v>
      </c>
      <c r="E79" s="15">
        <v>0</v>
      </c>
      <c r="F79" s="15">
        <v>0</v>
      </c>
      <c r="G79" s="450"/>
      <c r="H79" s="450"/>
      <c r="I79" s="449"/>
      <c r="J79" s="451"/>
      <c r="K79" s="451"/>
    </row>
    <row r="80" spans="1:20" ht="12" customHeight="1" x14ac:dyDescent="0.25">
      <c r="A80" s="449"/>
      <c r="B80" s="450"/>
      <c r="C80" s="137" t="s">
        <v>32</v>
      </c>
      <c r="D80" s="15">
        <f>'[3]табл.8 11.10.21'!F61</f>
        <v>0</v>
      </c>
      <c r="E80" s="15">
        <v>0</v>
      </c>
      <c r="F80" s="15">
        <v>0</v>
      </c>
      <c r="G80" s="450"/>
      <c r="H80" s="450"/>
      <c r="I80" s="449"/>
      <c r="J80" s="451"/>
      <c r="K80" s="451"/>
    </row>
    <row r="81" spans="1:20" ht="12" customHeight="1" x14ac:dyDescent="0.25">
      <c r="A81" s="449"/>
      <c r="B81" s="450"/>
      <c r="C81" s="137" t="s">
        <v>34</v>
      </c>
      <c r="D81" s="15">
        <f>'[3]табл.8 11.10.21'!G61</f>
        <v>0</v>
      </c>
      <c r="E81" s="15">
        <v>0</v>
      </c>
      <c r="F81" s="15">
        <v>0</v>
      </c>
      <c r="G81" s="450"/>
      <c r="H81" s="450"/>
      <c r="I81" s="449"/>
      <c r="J81" s="451"/>
      <c r="K81" s="451"/>
    </row>
    <row r="82" spans="1:20" ht="12" customHeight="1" x14ac:dyDescent="0.25">
      <c r="A82" s="449"/>
      <c r="B82" s="450"/>
      <c r="C82" s="137" t="s">
        <v>36</v>
      </c>
      <c r="D82" s="15">
        <f>'[3]табл.8 11.10.21'!I61</f>
        <v>0</v>
      </c>
      <c r="E82" s="15">
        <v>0</v>
      </c>
      <c r="F82" s="15">
        <v>0</v>
      </c>
      <c r="G82" s="450"/>
      <c r="H82" s="450"/>
      <c r="I82" s="449"/>
      <c r="J82" s="451"/>
      <c r="K82" s="451"/>
    </row>
    <row r="83" spans="1:20" s="22" customFormat="1" ht="12" customHeight="1" x14ac:dyDescent="0.25">
      <c r="A83" s="449" t="s">
        <v>63</v>
      </c>
      <c r="B83" s="450" t="s">
        <v>64</v>
      </c>
      <c r="C83" s="17" t="s">
        <v>28</v>
      </c>
      <c r="D83" s="18">
        <f>D84+D85+D86+D87</f>
        <v>1702022</v>
      </c>
      <c r="E83" s="18">
        <f>E84+E85+E86+E87</f>
        <v>1698000</v>
      </c>
      <c r="F83" s="18">
        <f t="shared" si="12"/>
        <v>0.99763692831232498</v>
      </c>
      <c r="G83" s="450" t="s">
        <v>48</v>
      </c>
      <c r="H83" s="450" t="s">
        <v>49</v>
      </c>
      <c r="I83" s="449" t="s">
        <v>50</v>
      </c>
      <c r="J83" s="451"/>
      <c r="K83" s="451"/>
      <c r="L83" s="20"/>
      <c r="M83" s="20"/>
      <c r="N83" s="20"/>
      <c r="O83" s="20"/>
      <c r="P83" s="20"/>
      <c r="Q83" s="21"/>
      <c r="R83" s="21"/>
      <c r="S83" s="21"/>
      <c r="T83" s="21"/>
    </row>
    <row r="84" spans="1:20" ht="12" customHeight="1" x14ac:dyDescent="0.25">
      <c r="A84" s="449"/>
      <c r="B84" s="450"/>
      <c r="C84" s="137" t="s">
        <v>30</v>
      </c>
      <c r="D84" s="15">
        <f>'[3]табл.8 11.10.21'!H67</f>
        <v>1702022</v>
      </c>
      <c r="E84" s="33">
        <f>'[3]01 10 2021'!M21+'[3]01 10 2021'!M22+'[3]01 10 2021'!M23</f>
        <v>1698000</v>
      </c>
      <c r="F84" s="15">
        <f t="shared" si="12"/>
        <v>0.99763692831232498</v>
      </c>
      <c r="G84" s="450"/>
      <c r="H84" s="450"/>
      <c r="I84" s="449"/>
      <c r="J84" s="451"/>
      <c r="K84" s="451"/>
    </row>
    <row r="85" spans="1:20" ht="12" customHeight="1" x14ac:dyDescent="0.25">
      <c r="A85" s="449"/>
      <c r="B85" s="450"/>
      <c r="C85" s="137" t="s">
        <v>32</v>
      </c>
      <c r="D85" s="15">
        <f>'[3]табл.8 11.10.21'!F67</f>
        <v>0</v>
      </c>
      <c r="E85" s="15">
        <v>0</v>
      </c>
      <c r="F85" s="15">
        <v>0</v>
      </c>
      <c r="G85" s="450"/>
      <c r="H85" s="450"/>
      <c r="I85" s="449"/>
      <c r="J85" s="451"/>
      <c r="K85" s="451"/>
    </row>
    <row r="86" spans="1:20" ht="12" customHeight="1" x14ac:dyDescent="0.25">
      <c r="A86" s="449"/>
      <c r="B86" s="450"/>
      <c r="C86" s="137" t="s">
        <v>34</v>
      </c>
      <c r="D86" s="15">
        <f>'[3]табл.8 11.10.21'!G67</f>
        <v>0</v>
      </c>
      <c r="E86" s="15">
        <v>0</v>
      </c>
      <c r="F86" s="15">
        <v>0</v>
      </c>
      <c r="G86" s="450"/>
      <c r="H86" s="450"/>
      <c r="I86" s="449"/>
      <c r="J86" s="451"/>
      <c r="K86" s="451"/>
    </row>
    <row r="87" spans="1:20" ht="12" customHeight="1" x14ac:dyDescent="0.25">
      <c r="A87" s="449"/>
      <c r="B87" s="450"/>
      <c r="C87" s="137" t="s">
        <v>36</v>
      </c>
      <c r="D87" s="15">
        <f>'[3]табл.8 11.10.21'!I67</f>
        <v>0</v>
      </c>
      <c r="E87" s="15">
        <v>0</v>
      </c>
      <c r="F87" s="15">
        <v>0</v>
      </c>
      <c r="G87" s="450"/>
      <c r="H87" s="450"/>
      <c r="I87" s="449"/>
      <c r="J87" s="451"/>
      <c r="K87" s="451"/>
    </row>
    <row r="88" spans="1:20" s="22" customFormat="1" ht="12" customHeight="1" x14ac:dyDescent="0.25">
      <c r="A88" s="449" t="s">
        <v>65</v>
      </c>
      <c r="B88" s="450" t="s">
        <v>66</v>
      </c>
      <c r="C88" s="17" t="s">
        <v>28</v>
      </c>
      <c r="D88" s="18">
        <f>D89+D90+D91+D92</f>
        <v>0</v>
      </c>
      <c r="E88" s="18">
        <f>E89+E90+E91+E92</f>
        <v>0</v>
      </c>
      <c r="F88" s="18">
        <v>0</v>
      </c>
      <c r="G88" s="457"/>
      <c r="H88" s="19" t="s">
        <v>39</v>
      </c>
      <c r="I88" s="17"/>
      <c r="J88" s="451"/>
      <c r="K88" s="451"/>
      <c r="L88" s="20"/>
      <c r="M88" s="20"/>
      <c r="N88" s="20"/>
      <c r="O88" s="20"/>
      <c r="P88" s="20"/>
      <c r="Q88" s="21"/>
      <c r="R88" s="21"/>
      <c r="S88" s="21"/>
      <c r="T88" s="21"/>
    </row>
    <row r="89" spans="1:20" ht="12" customHeight="1" x14ac:dyDescent="0.25">
      <c r="A89" s="449"/>
      <c r="B89" s="450"/>
      <c r="C89" s="137" t="s">
        <v>30</v>
      </c>
      <c r="D89" s="15">
        <f>'[3]табл.8 11.10.21'!H73</f>
        <v>0</v>
      </c>
      <c r="E89" s="15">
        <v>0</v>
      </c>
      <c r="F89" s="15">
        <v>0</v>
      </c>
      <c r="G89" s="457"/>
      <c r="H89" s="156" t="s">
        <v>31</v>
      </c>
      <c r="I89" s="137"/>
      <c r="J89" s="451"/>
      <c r="K89" s="451"/>
    </row>
    <row r="90" spans="1:20" ht="12" customHeight="1" x14ac:dyDescent="0.25">
      <c r="A90" s="449"/>
      <c r="B90" s="450"/>
      <c r="C90" s="137" t="s">
        <v>32</v>
      </c>
      <c r="D90" s="15">
        <f>'[3]табл.8 11.10.21'!F73</f>
        <v>0</v>
      </c>
      <c r="E90" s="15">
        <v>0</v>
      </c>
      <c r="F90" s="15">
        <v>0</v>
      </c>
      <c r="G90" s="457"/>
      <c r="H90" s="156" t="s">
        <v>33</v>
      </c>
      <c r="I90" s="137"/>
      <c r="J90" s="451"/>
      <c r="K90" s="451"/>
    </row>
    <row r="91" spans="1:20" ht="12" customHeight="1" x14ac:dyDescent="0.25">
      <c r="A91" s="449"/>
      <c r="B91" s="450"/>
      <c r="C91" s="137" t="s">
        <v>34</v>
      </c>
      <c r="D91" s="15">
        <f>'[3]табл.8 11.10.21'!G73</f>
        <v>0</v>
      </c>
      <c r="E91" s="15">
        <v>0</v>
      </c>
      <c r="F91" s="15">
        <v>0</v>
      </c>
      <c r="G91" s="457"/>
      <c r="H91" s="156" t="s">
        <v>35</v>
      </c>
      <c r="I91" s="137"/>
      <c r="J91" s="451"/>
      <c r="K91" s="451"/>
    </row>
    <row r="92" spans="1:20" ht="12" customHeight="1" x14ac:dyDescent="0.25">
      <c r="A92" s="449"/>
      <c r="B92" s="450"/>
      <c r="C92" s="137" t="s">
        <v>36</v>
      </c>
      <c r="D92" s="15">
        <f>'[3]табл.8 11.10.21'!I73</f>
        <v>0</v>
      </c>
      <c r="E92" s="15">
        <v>0</v>
      </c>
      <c r="F92" s="15">
        <v>0</v>
      </c>
      <c r="G92" s="457"/>
      <c r="H92" s="156" t="s">
        <v>37</v>
      </c>
      <c r="I92" s="137"/>
      <c r="J92" s="451"/>
      <c r="K92" s="451"/>
    </row>
    <row r="93" spans="1:20" ht="12" customHeight="1" x14ac:dyDescent="0.25">
      <c r="A93" s="498" t="s">
        <v>67</v>
      </c>
      <c r="B93" s="499" t="s">
        <v>68</v>
      </c>
      <c r="C93" s="152" t="s">
        <v>28</v>
      </c>
      <c r="D93" s="35">
        <f>D94+D95+D96+D97</f>
        <v>668624111.25</v>
      </c>
      <c r="E93" s="35">
        <f>E94+E95+E96+E97</f>
        <v>502334498.94</v>
      </c>
      <c r="F93" s="35">
        <f>E93/D93</f>
        <v>0.75129581851435212</v>
      </c>
      <c r="G93" s="500"/>
      <c r="H93" s="151" t="s">
        <v>39</v>
      </c>
      <c r="I93" s="152"/>
      <c r="J93" s="501"/>
      <c r="K93" s="501"/>
    </row>
    <row r="94" spans="1:20" ht="12" customHeight="1" x14ac:dyDescent="0.25">
      <c r="A94" s="498"/>
      <c r="B94" s="499"/>
      <c r="C94" s="152" t="s">
        <v>30</v>
      </c>
      <c r="D94" s="35">
        <f>D99+D119</f>
        <v>113601766.06</v>
      </c>
      <c r="E94" s="35">
        <f>E99+E119</f>
        <v>79329675.950000003</v>
      </c>
      <c r="F94" s="35">
        <f t="shared" ref="F94:F97" si="13">E94/D94</f>
        <v>0.69831375603880297</v>
      </c>
      <c r="G94" s="500"/>
      <c r="H94" s="151" t="s">
        <v>31</v>
      </c>
      <c r="I94" s="152"/>
      <c r="J94" s="501"/>
      <c r="K94" s="501"/>
      <c r="L94" s="7">
        <f>'[3]01 10 2021'!H24+'[3]01 10 2021'!H25+'[3]01 10 2021'!H26+'[3]01 10 2021'!H27+'[3]01 10 2021'!H76+'[3]01 10 2021'!H77+'[3]01 10 2021'!H35+'[3]01 10 2021'!H38+'[3]01 10 2021'!H39+'[3]01 10 2021'!H40+'[3]01 10 2021'!H43+'[3]01 10 2021'!H44</f>
        <v>451917412.84000003</v>
      </c>
      <c r="M94" s="7">
        <f>'[3]01 10 2021'!I24+'[3]01 10 2021'!I25+'[3]01 10 2021'!I26+'[3]01 10 2021'!I27+'[3]01 10 2021'!I76+'[3]01 10 2021'!I77+'[3]01 10 2021'!I35+'[3]01 10 2021'!I38+'[3]01 10 2021'!I39+'[3]01 10 2021'!I40+'[3]01 10 2021'!I43+'[3]01 10 2021'!I44</f>
        <v>0</v>
      </c>
      <c r="N94" s="7">
        <f>'[3]01 10 2021'!J24+'[3]01 10 2021'!J25+'[3]01 10 2021'!J26+'[3]01 10 2021'!J27+'[3]01 10 2021'!J76+'[3]01 10 2021'!J77+'[3]01 10 2021'!J35+'[3]01 10 2021'!J38+'[3]01 10 2021'!J39+'[3]01 10 2021'!J40+'[3]01 10 2021'!J43+'[3]01 10 2021'!J44</f>
        <v>451917412.84000003</v>
      </c>
      <c r="O94" s="7">
        <f>'[3]01 10 2021'!K24+'[3]01 10 2021'!K25+'[3]01 10 2021'!K26+'[3]01 10 2021'!K27+'[3]01 10 2021'!K76+'[3]01 10 2021'!K77+'[3]01 10 2021'!K35+'[3]01 10 2021'!K38+'[3]01 10 2021'!K39+'[3]01 10 2021'!K40+'[3]01 10 2021'!K43+'[3]01 10 2021'!K44</f>
        <v>330104096.52000004</v>
      </c>
      <c r="P94" s="7">
        <f>'[3]01 10 2021'!L24+'[3]01 10 2021'!L25+'[3]01 10 2021'!L26+'[3]01 10 2021'!L27+'[3]01 10 2021'!L76+'[3]01 10 2021'!L77+'[3]01 10 2021'!L35+'[3]01 10 2021'!L38+'[3]01 10 2021'!L39+'[3]01 10 2021'!L40+'[3]01 10 2021'!L43+'[3]01 10 2021'!L44</f>
        <v>121813316.32000001</v>
      </c>
      <c r="Q94" s="7">
        <f>'[3]01 10 2021'!M24+'[3]01 10 2021'!M25+'[3]01 10 2021'!M26+'[3]01 10 2021'!M27+'[3]01 10 2021'!M76+'[3]01 10 2021'!M77+'[3]01 10 2021'!M35+'[3]01 10 2021'!M38+'[3]01 10 2021'!M39+'[3]01 10 2021'!M40+'[3]01 10 2021'!M43+'[3]01 10 2021'!M44</f>
        <v>330097296.52000004</v>
      </c>
    </row>
    <row r="95" spans="1:20" ht="12" customHeight="1" x14ac:dyDescent="0.25">
      <c r="A95" s="498"/>
      <c r="B95" s="499"/>
      <c r="C95" s="152" t="s">
        <v>32</v>
      </c>
      <c r="D95" s="35">
        <f t="shared" ref="D95:E97" si="14">D100+D120</f>
        <v>490265605.19</v>
      </c>
      <c r="E95" s="35">
        <f t="shared" si="14"/>
        <v>368720272.01999998</v>
      </c>
      <c r="F95" s="35">
        <f t="shared" si="13"/>
        <v>0.75208268358353281</v>
      </c>
      <c r="G95" s="500"/>
      <c r="H95" s="151" t="s">
        <v>33</v>
      </c>
      <c r="I95" s="152"/>
      <c r="J95" s="501"/>
      <c r="K95" s="501"/>
      <c r="L95" s="7">
        <f>'[3]01 10 2021'!H33+'[3]01 10 2021'!H34+'[3]01 10 2021'!H31+'[3]01 10 2021'!H32+'[3]01 10 2021'!H78+'[3]01 10 2021'!H107+'[3]01 10 2021'!H30+'[3]01 10 2021'!H37+'[3]01 10 2021'!H41+'[3]01 10 2021'!H42</f>
        <v>204106751.91</v>
      </c>
      <c r="M95" s="7">
        <f>'[3]01 10 2021'!I33+'[3]01 10 2021'!I34+'[3]01 10 2021'!I31+'[3]01 10 2021'!I32+'[3]01 10 2021'!I78+'[3]01 10 2021'!I107+'[3]01 10 2021'!I30+'[3]01 10 2021'!I37+'[3]01 10 2021'!I41+'[3]01 10 2021'!I42</f>
        <v>161747.01999999955</v>
      </c>
      <c r="N95" s="7">
        <f>'[3]01 10 2021'!J33+'[3]01 10 2021'!J34+'[3]01 10 2021'!J31+'[3]01 10 2021'!J32+'[3]01 10 2021'!J78+'[3]01 10 2021'!J107+'[3]01 10 2021'!J30+'[3]01 10 2021'!J37+'[3]01 10 2021'!J41+'[3]01 10 2021'!J42</f>
        <v>203945004.88999999</v>
      </c>
      <c r="O95" s="7">
        <f>'[3]01 10 2021'!K33+'[3]01 10 2021'!K34+'[3]01 10 2021'!K31+'[3]01 10 2021'!K32+'[3]01 10 2021'!K78+'[3]01 10 2021'!K107+'[3]01 10 2021'!K30+'[3]01 10 2021'!K37+'[3]01 10 2021'!K41+'[3]01 10 2021'!K42</f>
        <v>162585614.44999999</v>
      </c>
      <c r="P95" s="7">
        <f>'[3]01 10 2021'!L33+'[3]01 10 2021'!L34+'[3]01 10 2021'!L31+'[3]01 10 2021'!L32+'[3]01 10 2021'!L78+'[3]01 10 2021'!L107+'[3]01 10 2021'!L30+'[3]01 10 2021'!L37+'[3]01 10 2021'!L41+'[3]01 10 2021'!L42</f>
        <v>41521137.459999993</v>
      </c>
      <c r="Q95" s="7">
        <f>'[3]01 10 2021'!M33+'[3]01 10 2021'!M34+'[3]01 10 2021'!M31+'[3]01 10 2021'!M32+'[3]01 10 2021'!M78+'[3]01 10 2021'!M107+'[3]01 10 2021'!M30+'[3]01 10 2021'!M37+'[3]01 10 2021'!M41+'[3]01 10 2021'!M42</f>
        <v>162585614.44999999</v>
      </c>
    </row>
    <row r="96" spans="1:20" ht="12" customHeight="1" x14ac:dyDescent="0.25">
      <c r="A96" s="498"/>
      <c r="B96" s="499"/>
      <c r="C96" s="152" t="s">
        <v>34</v>
      </c>
      <c r="D96" s="35">
        <f t="shared" si="14"/>
        <v>62906740</v>
      </c>
      <c r="E96" s="35">
        <f t="shared" si="14"/>
        <v>52937276.799999997</v>
      </c>
      <c r="F96" s="35">
        <f t="shared" si="13"/>
        <v>0.84151995159819115</v>
      </c>
      <c r="G96" s="500"/>
      <c r="H96" s="151" t="s">
        <v>35</v>
      </c>
      <c r="I96" s="152"/>
      <c r="J96" s="501"/>
      <c r="K96" s="501"/>
    </row>
    <row r="97" spans="1:20" ht="12" customHeight="1" x14ac:dyDescent="0.25">
      <c r="A97" s="498"/>
      <c r="B97" s="499"/>
      <c r="C97" s="152" t="s">
        <v>36</v>
      </c>
      <c r="D97" s="35">
        <f t="shared" si="14"/>
        <v>1850000</v>
      </c>
      <c r="E97" s="35">
        <f t="shared" si="14"/>
        <v>1347274.17</v>
      </c>
      <c r="F97" s="35">
        <f t="shared" si="13"/>
        <v>0.72825630810810804</v>
      </c>
      <c r="G97" s="500"/>
      <c r="H97" s="151" t="s">
        <v>37</v>
      </c>
      <c r="I97" s="152"/>
      <c r="J97" s="501"/>
      <c r="K97" s="501"/>
    </row>
    <row r="98" spans="1:20" ht="12" customHeight="1" x14ac:dyDescent="0.25">
      <c r="A98" s="494" t="s">
        <v>69</v>
      </c>
      <c r="B98" s="495" t="s">
        <v>70</v>
      </c>
      <c r="C98" s="150" t="s">
        <v>28</v>
      </c>
      <c r="D98" s="23">
        <f>D99+D100+D101+D102</f>
        <v>623615075.41999996</v>
      </c>
      <c r="E98" s="23">
        <f>E99+E100+E101+E102</f>
        <v>459529263.07999998</v>
      </c>
      <c r="F98" s="23">
        <f>E98/D98</f>
        <v>0.73687965732789662</v>
      </c>
      <c r="G98" s="496"/>
      <c r="H98" s="38" t="s">
        <v>39</v>
      </c>
      <c r="I98" s="150"/>
      <c r="J98" s="497"/>
      <c r="K98" s="497"/>
    </row>
    <row r="99" spans="1:20" ht="12" customHeight="1" x14ac:dyDescent="0.25">
      <c r="A99" s="494"/>
      <c r="B99" s="495"/>
      <c r="C99" s="150" t="s">
        <v>30</v>
      </c>
      <c r="D99" s="23">
        <f>D104+D109+D114</f>
        <v>104423710.23</v>
      </c>
      <c r="E99" s="23">
        <f>E104+E109+E114</f>
        <v>72156027.140000001</v>
      </c>
      <c r="F99" s="23">
        <f t="shared" ref="F99:F115" si="15">E99/D99</f>
        <v>0.69099275424203621</v>
      </c>
      <c r="G99" s="496"/>
      <c r="H99" s="38" t="s">
        <v>31</v>
      </c>
      <c r="I99" s="150"/>
      <c r="J99" s="497"/>
      <c r="K99" s="497"/>
    </row>
    <row r="100" spans="1:20" ht="12" customHeight="1" x14ac:dyDescent="0.25">
      <c r="A100" s="494"/>
      <c r="B100" s="495"/>
      <c r="C100" s="150" t="s">
        <v>32</v>
      </c>
      <c r="D100" s="23">
        <f t="shared" ref="D100:E102" si="16">D105+D110+D115</f>
        <v>476953325.19</v>
      </c>
      <c r="E100" s="23">
        <f t="shared" si="16"/>
        <v>355465880.66999996</v>
      </c>
      <c r="F100" s="23">
        <f t="shared" si="15"/>
        <v>0.74528441651684874</v>
      </c>
      <c r="G100" s="496"/>
      <c r="H100" s="38" t="s">
        <v>33</v>
      </c>
      <c r="I100" s="150"/>
      <c r="J100" s="497"/>
      <c r="K100" s="497"/>
    </row>
    <row r="101" spans="1:20" ht="12" customHeight="1" x14ac:dyDescent="0.25">
      <c r="A101" s="494"/>
      <c r="B101" s="495"/>
      <c r="C101" s="150" t="s">
        <v>34</v>
      </c>
      <c r="D101" s="23">
        <f t="shared" si="16"/>
        <v>40388040</v>
      </c>
      <c r="E101" s="23">
        <f t="shared" si="16"/>
        <v>30560081.100000001</v>
      </c>
      <c r="F101" s="23">
        <f t="shared" si="15"/>
        <v>0.75666165280612774</v>
      </c>
      <c r="G101" s="496"/>
      <c r="H101" s="38" t="s">
        <v>35</v>
      </c>
      <c r="I101" s="150"/>
      <c r="J101" s="497"/>
      <c r="K101" s="497"/>
    </row>
    <row r="102" spans="1:20" ht="12" customHeight="1" x14ac:dyDescent="0.25">
      <c r="A102" s="494"/>
      <c r="B102" s="495"/>
      <c r="C102" s="150" t="s">
        <v>36</v>
      </c>
      <c r="D102" s="23">
        <f t="shared" si="16"/>
        <v>1850000</v>
      </c>
      <c r="E102" s="23">
        <f t="shared" si="16"/>
        <v>1347274.17</v>
      </c>
      <c r="F102" s="23">
        <f t="shared" si="15"/>
        <v>0.72825630810810804</v>
      </c>
      <c r="G102" s="496"/>
      <c r="H102" s="38" t="s">
        <v>37</v>
      </c>
      <c r="I102" s="150"/>
      <c r="J102" s="497"/>
      <c r="K102" s="497"/>
    </row>
    <row r="103" spans="1:20" s="22" customFormat="1" ht="12" customHeight="1" x14ac:dyDescent="0.25">
      <c r="A103" s="449" t="s">
        <v>71</v>
      </c>
      <c r="B103" s="450" t="s">
        <v>72</v>
      </c>
      <c r="C103" s="17" t="s">
        <v>28</v>
      </c>
      <c r="D103" s="18">
        <f>D104+D105+D106+D107</f>
        <v>515058540</v>
      </c>
      <c r="E103" s="18">
        <f>E104+E105+E106+E107</f>
        <v>384418039.44</v>
      </c>
      <c r="F103" s="18">
        <f t="shared" si="15"/>
        <v>0.74635795659266224</v>
      </c>
      <c r="G103" s="450" t="s">
        <v>48</v>
      </c>
      <c r="H103" s="450" t="s">
        <v>49</v>
      </c>
      <c r="I103" s="449" t="s">
        <v>50</v>
      </c>
      <c r="J103" s="451"/>
      <c r="K103" s="451"/>
      <c r="L103" s="20"/>
      <c r="M103" s="20"/>
      <c r="N103" s="20"/>
      <c r="O103" s="20"/>
      <c r="P103" s="20"/>
      <c r="Q103" s="21"/>
      <c r="R103" s="21"/>
      <c r="S103" s="21"/>
      <c r="T103" s="21"/>
    </row>
    <row r="104" spans="1:20" ht="12" customHeight="1" x14ac:dyDescent="0.25">
      <c r="A104" s="449"/>
      <c r="B104" s="450"/>
      <c r="C104" s="137" t="s">
        <v>30</v>
      </c>
      <c r="D104" s="15">
        <f>'[3]табл.8 11.10.21'!H91</f>
        <v>0</v>
      </c>
      <c r="E104" s="15"/>
      <c r="F104" s="15">
        <v>0</v>
      </c>
      <c r="G104" s="450"/>
      <c r="H104" s="450"/>
      <c r="I104" s="449"/>
      <c r="J104" s="451"/>
      <c r="K104" s="451"/>
    </row>
    <row r="105" spans="1:20" ht="12" customHeight="1" x14ac:dyDescent="0.25">
      <c r="A105" s="449"/>
      <c r="B105" s="450"/>
      <c r="C105" s="137" t="s">
        <v>32</v>
      </c>
      <c r="D105" s="15">
        <f>'[3]табл.8 11.10.21'!F91</f>
        <v>474670500</v>
      </c>
      <c r="E105" s="33">
        <f>'[3]01 10 2021'!M34+'[3]01 10 2021'!M35+'[3]01 10 2021'!M82+'[3]01 10 2021'!M32+'[3]01 10 2021'!M33</f>
        <v>353857958.33999997</v>
      </c>
      <c r="F105" s="15">
        <f t="shared" si="15"/>
        <v>0.74548125139438826</v>
      </c>
      <c r="G105" s="450"/>
      <c r="H105" s="450"/>
      <c r="I105" s="449"/>
      <c r="J105" s="451"/>
      <c r="K105" s="451"/>
    </row>
    <row r="106" spans="1:20" ht="12" customHeight="1" x14ac:dyDescent="0.25">
      <c r="A106" s="449"/>
      <c r="B106" s="450"/>
      <c r="C106" s="137" t="s">
        <v>34</v>
      </c>
      <c r="D106" s="15">
        <f>'[3]табл.8 11.10.21'!G91</f>
        <v>40388040</v>
      </c>
      <c r="E106" s="33">
        <f>'[3]01 10 2021'!M29+'[3]01 10 2021'!M30</f>
        <v>30560081.100000001</v>
      </c>
      <c r="F106" s="15">
        <f t="shared" si="15"/>
        <v>0.75666165280612774</v>
      </c>
      <c r="G106" s="450"/>
      <c r="H106" s="450"/>
      <c r="I106" s="449"/>
      <c r="J106" s="451"/>
      <c r="K106" s="451"/>
    </row>
    <row r="107" spans="1:20" ht="12" customHeight="1" x14ac:dyDescent="0.25">
      <c r="A107" s="449"/>
      <c r="B107" s="450"/>
      <c r="C107" s="137" t="s">
        <v>36</v>
      </c>
      <c r="D107" s="15">
        <f>'[3]табл.8 11.10.21'!I91</f>
        <v>0</v>
      </c>
      <c r="E107" s="15">
        <v>0</v>
      </c>
      <c r="F107" s="15">
        <v>0</v>
      </c>
      <c r="G107" s="450"/>
      <c r="H107" s="450"/>
      <c r="I107" s="449"/>
      <c r="J107" s="451"/>
      <c r="K107" s="451"/>
    </row>
    <row r="108" spans="1:20" s="22" customFormat="1" ht="11.25" customHeight="1" x14ac:dyDescent="0.25">
      <c r="A108" s="449" t="s">
        <v>73</v>
      </c>
      <c r="B108" s="450" t="s">
        <v>74</v>
      </c>
      <c r="C108" s="17" t="s">
        <v>28</v>
      </c>
      <c r="D108" s="18">
        <f>D109+D110+D111+D112</f>
        <v>107941156.84</v>
      </c>
      <c r="E108" s="18">
        <f>E109+E110+E111+E112</f>
        <v>74649690.75</v>
      </c>
      <c r="F108" s="18">
        <f t="shared" si="15"/>
        <v>0.69157764225792406</v>
      </c>
      <c r="G108" s="450" t="s">
        <v>48</v>
      </c>
      <c r="H108" s="450" t="s">
        <v>49</v>
      </c>
      <c r="I108" s="449" t="s">
        <v>50</v>
      </c>
      <c r="J108" s="451"/>
      <c r="K108" s="451"/>
      <c r="L108" s="20"/>
      <c r="M108" s="20"/>
      <c r="N108" s="20"/>
      <c r="O108" s="20"/>
      <c r="P108" s="20"/>
      <c r="Q108" s="21"/>
      <c r="R108" s="21"/>
      <c r="S108" s="21"/>
      <c r="T108" s="21"/>
    </row>
    <row r="109" spans="1:20" ht="11.25" customHeight="1" x14ac:dyDescent="0.25">
      <c r="A109" s="449"/>
      <c r="B109" s="450"/>
      <c r="C109" s="137" t="s">
        <v>30</v>
      </c>
      <c r="D109" s="15">
        <f>'[3]табл.8 11.10.21'!H97</f>
        <v>104377556.84</v>
      </c>
      <c r="E109" s="33">
        <f>'[3]01 10 2021'!M24+'[3]01 10 2021'!M25+'[3]01 10 2021'!M26+'[3]01 10 2021'!M27+'[3]01 10 2021'!M28+'[3]01 10 2021'!M80+'[3]01 10 2021'!M81</f>
        <v>72121413.140000001</v>
      </c>
      <c r="F109" s="15">
        <f t="shared" si="15"/>
        <v>0.69096667256309385</v>
      </c>
      <c r="G109" s="450"/>
      <c r="H109" s="450"/>
      <c r="I109" s="449"/>
      <c r="J109" s="451"/>
      <c r="K109" s="451"/>
    </row>
    <row r="110" spans="1:20" ht="11.25" customHeight="1" x14ac:dyDescent="0.25">
      <c r="A110" s="449"/>
      <c r="B110" s="450"/>
      <c r="C110" s="137" t="s">
        <v>32</v>
      </c>
      <c r="D110" s="15">
        <f>'[3]табл.8 11.10.21'!F97</f>
        <v>1713600</v>
      </c>
      <c r="E110" s="33">
        <f>'[3]01 10 2021'!M111</f>
        <v>1181003.44</v>
      </c>
      <c r="F110" s="15">
        <f t="shared" si="15"/>
        <v>0.68919435107376281</v>
      </c>
      <c r="G110" s="450"/>
      <c r="H110" s="450"/>
      <c r="I110" s="449"/>
      <c r="J110" s="451"/>
      <c r="K110" s="451"/>
    </row>
    <row r="111" spans="1:20" ht="11.25" customHeight="1" x14ac:dyDescent="0.25">
      <c r="A111" s="449"/>
      <c r="B111" s="450"/>
      <c r="C111" s="137" t="s">
        <v>34</v>
      </c>
      <c r="D111" s="15">
        <f>'[3]табл.8 11.10.21'!G97</f>
        <v>0</v>
      </c>
      <c r="E111" s="33">
        <v>0</v>
      </c>
      <c r="F111" s="15">
        <v>0</v>
      </c>
      <c r="G111" s="450"/>
      <c r="H111" s="450"/>
      <c r="I111" s="449"/>
      <c r="J111" s="451"/>
      <c r="K111" s="451"/>
    </row>
    <row r="112" spans="1:20" ht="11.25" customHeight="1" x14ac:dyDescent="0.25">
      <c r="A112" s="449"/>
      <c r="B112" s="450"/>
      <c r="C112" s="137" t="s">
        <v>36</v>
      </c>
      <c r="D112" s="15">
        <f>'[3]табл.8 11.10.21'!I97</f>
        <v>1850000</v>
      </c>
      <c r="E112" s="33">
        <f>'[4]01.10.'!$L$47</f>
        <v>1347274.17</v>
      </c>
      <c r="F112" s="15">
        <f t="shared" si="15"/>
        <v>0.72825630810810804</v>
      </c>
      <c r="G112" s="450"/>
      <c r="H112" s="450"/>
      <c r="I112" s="449"/>
      <c r="J112" s="451"/>
      <c r="K112" s="451"/>
    </row>
    <row r="113" spans="1:20" s="22" customFormat="1" ht="33" customHeight="1" x14ac:dyDescent="0.25">
      <c r="A113" s="449" t="s">
        <v>75</v>
      </c>
      <c r="B113" s="450" t="s">
        <v>76</v>
      </c>
      <c r="C113" s="17" t="s">
        <v>28</v>
      </c>
      <c r="D113" s="18">
        <f>D114+D115+D116+D117</f>
        <v>615378.57999999996</v>
      </c>
      <c r="E113" s="18">
        <f>E114+E115+E116+E117</f>
        <v>461532.89</v>
      </c>
      <c r="F113" s="18">
        <f t="shared" si="15"/>
        <v>0.7499983018583456</v>
      </c>
      <c r="G113" s="457"/>
      <c r="H113" s="19" t="s">
        <v>39</v>
      </c>
      <c r="I113" s="17"/>
      <c r="J113" s="451"/>
      <c r="K113" s="451"/>
      <c r="L113" s="20"/>
      <c r="M113" s="20"/>
      <c r="N113" s="20"/>
      <c r="O113" s="20"/>
      <c r="P113" s="20"/>
      <c r="Q113" s="21"/>
      <c r="R113" s="21"/>
      <c r="S113" s="21"/>
      <c r="T113" s="21"/>
    </row>
    <row r="114" spans="1:20" ht="33" customHeight="1" x14ac:dyDescent="0.25">
      <c r="A114" s="449"/>
      <c r="B114" s="450"/>
      <c r="C114" s="137" t="s">
        <v>30</v>
      </c>
      <c r="D114" s="15">
        <f>'[3]табл.8 11.10.21'!H103</f>
        <v>46153.39</v>
      </c>
      <c r="E114" s="33">
        <f>'[3]01 10 2021'!M36</f>
        <v>34614</v>
      </c>
      <c r="F114" s="15">
        <f t="shared" si="15"/>
        <v>0.74997741227675796</v>
      </c>
      <c r="G114" s="457"/>
      <c r="H114" s="156" t="s">
        <v>31</v>
      </c>
      <c r="I114" s="137"/>
      <c r="J114" s="451"/>
      <c r="K114" s="451"/>
    </row>
    <row r="115" spans="1:20" ht="33" customHeight="1" x14ac:dyDescent="0.25">
      <c r="A115" s="449"/>
      <c r="B115" s="450"/>
      <c r="C115" s="137" t="s">
        <v>32</v>
      </c>
      <c r="D115" s="15">
        <f>'[3]табл.8 11.10.21'!F103</f>
        <v>569225.18999999994</v>
      </c>
      <c r="E115" s="33">
        <f>'[3]01 10 2021'!K31</f>
        <v>426918.89</v>
      </c>
      <c r="F115" s="15">
        <f t="shared" si="15"/>
        <v>0.74999999560806518</v>
      </c>
      <c r="G115" s="457"/>
      <c r="H115" s="156" t="s">
        <v>33</v>
      </c>
      <c r="I115" s="137"/>
      <c r="J115" s="451"/>
      <c r="K115" s="451"/>
    </row>
    <row r="116" spans="1:20" ht="33" customHeight="1" x14ac:dyDescent="0.25">
      <c r="A116" s="449"/>
      <c r="B116" s="450"/>
      <c r="C116" s="137" t="s">
        <v>34</v>
      </c>
      <c r="D116" s="15">
        <f>'[3]табл.8 11.10.21'!G103</f>
        <v>0</v>
      </c>
      <c r="E116" s="15">
        <v>0</v>
      </c>
      <c r="F116" s="15">
        <v>0</v>
      </c>
      <c r="G116" s="457"/>
      <c r="H116" s="156" t="s">
        <v>35</v>
      </c>
      <c r="I116" s="137"/>
      <c r="J116" s="451"/>
      <c r="K116" s="451"/>
    </row>
    <row r="117" spans="1:20" ht="33" customHeight="1" x14ac:dyDescent="0.25">
      <c r="A117" s="449"/>
      <c r="B117" s="450"/>
      <c r="C117" s="137" t="s">
        <v>36</v>
      </c>
      <c r="D117" s="15">
        <f>'[3]табл.8 11.10.21'!I103</f>
        <v>0</v>
      </c>
      <c r="E117" s="15">
        <v>0</v>
      </c>
      <c r="F117" s="15">
        <v>0</v>
      </c>
      <c r="G117" s="457"/>
      <c r="H117" s="156" t="s">
        <v>37</v>
      </c>
      <c r="I117" s="137"/>
      <c r="J117" s="451"/>
      <c r="K117" s="451"/>
    </row>
    <row r="118" spans="1:20" s="22" customFormat="1" ht="12" customHeight="1" x14ac:dyDescent="0.25">
      <c r="A118" s="494" t="s">
        <v>77</v>
      </c>
      <c r="B118" s="495" t="s">
        <v>78</v>
      </c>
      <c r="C118" s="39" t="s">
        <v>28</v>
      </c>
      <c r="D118" s="40">
        <f>D119+D120+D121+D122</f>
        <v>45009035.829999998</v>
      </c>
      <c r="E118" s="40">
        <f>E119+E120+E121+E122</f>
        <v>42805235.859999999</v>
      </c>
      <c r="F118" s="40">
        <f>E118/D118</f>
        <v>0.95103649901935705</v>
      </c>
      <c r="G118" s="496"/>
      <c r="H118" s="41" t="s">
        <v>39</v>
      </c>
      <c r="I118" s="39"/>
      <c r="J118" s="497"/>
      <c r="K118" s="497"/>
      <c r="L118" s="20"/>
      <c r="M118" s="20"/>
      <c r="N118" s="20"/>
      <c r="O118" s="20"/>
      <c r="P118" s="20"/>
      <c r="Q118" s="21"/>
      <c r="R118" s="21"/>
      <c r="S118" s="21"/>
      <c r="T118" s="21"/>
    </row>
    <row r="119" spans="1:20" ht="12" customHeight="1" x14ac:dyDescent="0.25">
      <c r="A119" s="494"/>
      <c r="B119" s="495"/>
      <c r="C119" s="150" t="s">
        <v>30</v>
      </c>
      <c r="D119" s="23">
        <f>D124+D129+D134</f>
        <v>9178055.8299999982</v>
      </c>
      <c r="E119" s="23">
        <f>E124+E129+E134</f>
        <v>7173648.8099999996</v>
      </c>
      <c r="F119" s="23">
        <f t="shared" ref="F119:F131" si="17">E119/D119</f>
        <v>0.78160875711299749</v>
      </c>
      <c r="G119" s="496"/>
      <c r="H119" s="38" t="s">
        <v>31</v>
      </c>
      <c r="I119" s="150"/>
      <c r="J119" s="497"/>
      <c r="K119" s="497"/>
    </row>
    <row r="120" spans="1:20" ht="12" customHeight="1" x14ac:dyDescent="0.25">
      <c r="A120" s="494"/>
      <c r="B120" s="495"/>
      <c r="C120" s="150" t="s">
        <v>32</v>
      </c>
      <c r="D120" s="23">
        <f t="shared" ref="D120:E122" si="18">D125+D130+D135</f>
        <v>13312280</v>
      </c>
      <c r="E120" s="23">
        <f t="shared" si="18"/>
        <v>13254391.350000001</v>
      </c>
      <c r="F120" s="23">
        <f t="shared" si="17"/>
        <v>0.99565148494472788</v>
      </c>
      <c r="G120" s="496"/>
      <c r="H120" s="38" t="s">
        <v>33</v>
      </c>
      <c r="I120" s="150"/>
      <c r="J120" s="497"/>
      <c r="K120" s="497"/>
    </row>
    <row r="121" spans="1:20" ht="12" customHeight="1" x14ac:dyDescent="0.25">
      <c r="A121" s="494"/>
      <c r="B121" s="495"/>
      <c r="C121" s="150" t="s">
        <v>34</v>
      </c>
      <c r="D121" s="23">
        <f t="shared" si="18"/>
        <v>22518700</v>
      </c>
      <c r="E121" s="23">
        <f t="shared" si="18"/>
        <v>22377195.699999999</v>
      </c>
      <c r="F121" s="23">
        <f t="shared" si="17"/>
        <v>0.99371614258371932</v>
      </c>
      <c r="G121" s="496"/>
      <c r="H121" s="38" t="s">
        <v>35</v>
      </c>
      <c r="I121" s="150"/>
      <c r="J121" s="497"/>
      <c r="K121" s="497"/>
    </row>
    <row r="122" spans="1:20" ht="12" customHeight="1" x14ac:dyDescent="0.25">
      <c r="A122" s="494"/>
      <c r="B122" s="495"/>
      <c r="C122" s="150" t="s">
        <v>36</v>
      </c>
      <c r="D122" s="23">
        <f t="shared" si="18"/>
        <v>0</v>
      </c>
      <c r="E122" s="23">
        <f>E127+E132+E137</f>
        <v>0</v>
      </c>
      <c r="F122" s="23">
        <v>0</v>
      </c>
      <c r="G122" s="496"/>
      <c r="H122" s="38" t="s">
        <v>37</v>
      </c>
      <c r="I122" s="150"/>
      <c r="J122" s="497"/>
      <c r="K122" s="497"/>
    </row>
    <row r="123" spans="1:20" s="22" customFormat="1" ht="12" customHeight="1" x14ac:dyDescent="0.25">
      <c r="A123" s="449" t="s">
        <v>79</v>
      </c>
      <c r="B123" s="450" t="s">
        <v>62</v>
      </c>
      <c r="C123" s="17" t="s">
        <v>28</v>
      </c>
      <c r="D123" s="18">
        <f>D124+D125+D126+D127</f>
        <v>0</v>
      </c>
      <c r="E123" s="18">
        <f>E124+E125+E126+E127</f>
        <v>0</v>
      </c>
      <c r="F123" s="18">
        <v>0</v>
      </c>
      <c r="G123" s="450" t="s">
        <v>48</v>
      </c>
      <c r="H123" s="450" t="s">
        <v>49</v>
      </c>
      <c r="I123" s="449" t="s">
        <v>50</v>
      </c>
      <c r="J123" s="451"/>
      <c r="K123" s="451"/>
      <c r="L123" s="20"/>
      <c r="M123" s="20"/>
      <c r="N123" s="20"/>
      <c r="O123" s="20"/>
      <c r="P123" s="20"/>
      <c r="Q123" s="21"/>
      <c r="R123" s="21"/>
      <c r="S123" s="21"/>
      <c r="T123" s="21"/>
    </row>
    <row r="124" spans="1:20" ht="12" customHeight="1" x14ac:dyDescent="0.25">
      <c r="A124" s="449"/>
      <c r="B124" s="450"/>
      <c r="C124" s="137" t="s">
        <v>30</v>
      </c>
      <c r="D124" s="15">
        <f>'[3]табл.8 11.10.21'!H115</f>
        <v>0</v>
      </c>
      <c r="E124" s="15">
        <v>0</v>
      </c>
      <c r="F124" s="15">
        <v>0</v>
      </c>
      <c r="G124" s="450"/>
      <c r="H124" s="450"/>
      <c r="I124" s="449"/>
      <c r="J124" s="451"/>
      <c r="K124" s="451"/>
    </row>
    <row r="125" spans="1:20" ht="12" customHeight="1" x14ac:dyDescent="0.25">
      <c r="A125" s="449"/>
      <c r="B125" s="450"/>
      <c r="C125" s="137" t="s">
        <v>32</v>
      </c>
      <c r="D125" s="15">
        <f>'[3]табл.8 11.10.21'!F115</f>
        <v>0</v>
      </c>
      <c r="E125" s="15">
        <v>0</v>
      </c>
      <c r="F125" s="15">
        <v>0</v>
      </c>
      <c r="G125" s="450"/>
      <c r="H125" s="450"/>
      <c r="I125" s="449"/>
      <c r="J125" s="451"/>
      <c r="K125" s="451"/>
    </row>
    <row r="126" spans="1:20" ht="12" customHeight="1" x14ac:dyDescent="0.25">
      <c r="A126" s="449"/>
      <c r="B126" s="450"/>
      <c r="C126" s="137" t="s">
        <v>34</v>
      </c>
      <c r="D126" s="15">
        <f>'[3]табл.8 11.10.21'!G115</f>
        <v>0</v>
      </c>
      <c r="E126" s="15">
        <v>0</v>
      </c>
      <c r="F126" s="15">
        <v>0</v>
      </c>
      <c r="G126" s="450"/>
      <c r="H126" s="450"/>
      <c r="I126" s="449"/>
      <c r="J126" s="451"/>
      <c r="K126" s="451"/>
    </row>
    <row r="127" spans="1:20" ht="12" customHeight="1" x14ac:dyDescent="0.25">
      <c r="A127" s="449"/>
      <c r="B127" s="450"/>
      <c r="C127" s="137" t="s">
        <v>36</v>
      </c>
      <c r="D127" s="15">
        <f>'[3]табл.8 11.10.21'!I115</f>
        <v>0</v>
      </c>
      <c r="E127" s="15">
        <v>0</v>
      </c>
      <c r="F127" s="15">
        <v>0</v>
      </c>
      <c r="G127" s="450"/>
      <c r="H127" s="450"/>
      <c r="I127" s="449"/>
      <c r="J127" s="451"/>
      <c r="K127" s="451"/>
    </row>
    <row r="128" spans="1:20" s="22" customFormat="1" ht="12" customHeight="1" x14ac:dyDescent="0.25">
      <c r="A128" s="449" t="s">
        <v>80</v>
      </c>
      <c r="B128" s="450" t="s">
        <v>64</v>
      </c>
      <c r="C128" s="17" t="s">
        <v>28</v>
      </c>
      <c r="D128" s="18">
        <f>D129+D130+D131+D132</f>
        <v>45009035.829999998</v>
      </c>
      <c r="E128" s="18">
        <f>E129+E130+E131+E132</f>
        <v>42805235.859999999</v>
      </c>
      <c r="F128" s="18">
        <f t="shared" si="17"/>
        <v>0.95103649901935705</v>
      </c>
      <c r="G128" s="450" t="s">
        <v>48</v>
      </c>
      <c r="H128" s="450" t="s">
        <v>49</v>
      </c>
      <c r="I128" s="449" t="s">
        <v>50</v>
      </c>
      <c r="J128" s="451"/>
      <c r="K128" s="451"/>
      <c r="L128" s="20"/>
      <c r="M128" s="20"/>
      <c r="N128" s="20"/>
      <c r="O128" s="20"/>
      <c r="P128" s="20"/>
      <c r="Q128" s="21"/>
      <c r="R128" s="21"/>
      <c r="S128" s="21"/>
      <c r="T128" s="21"/>
    </row>
    <row r="129" spans="1:20" ht="12" customHeight="1" x14ac:dyDescent="0.25">
      <c r="A129" s="449"/>
      <c r="B129" s="450"/>
      <c r="C129" s="137" t="s">
        <v>30</v>
      </c>
      <c r="D129" s="15">
        <f>'[3]табл.8 11.10.21'!H121</f>
        <v>9178055.8299999982</v>
      </c>
      <c r="E129" s="33">
        <f>'[3]01 10 2021'!M40+'[3]01 10 2021'!M41+'[3]01 10 2021'!M42+'[3]01 10 2021'!M45+'[3]01 10 2021'!M46</f>
        <v>7173648.8099999996</v>
      </c>
      <c r="F129" s="15">
        <f t="shared" si="17"/>
        <v>0.78160875711299749</v>
      </c>
      <c r="G129" s="450"/>
      <c r="H129" s="450"/>
      <c r="I129" s="449"/>
      <c r="J129" s="451"/>
      <c r="K129" s="451"/>
    </row>
    <row r="130" spans="1:20" ht="12" customHeight="1" x14ac:dyDescent="0.25">
      <c r="A130" s="449"/>
      <c r="B130" s="450"/>
      <c r="C130" s="137" t="s">
        <v>32</v>
      </c>
      <c r="D130" s="15">
        <f>'[3]табл.8 11.10.21'!F121</f>
        <v>13312280</v>
      </c>
      <c r="E130" s="33">
        <f>'[3]01 10 2021'!M38+'[3]01 10 2021'!M43+'[3]01 10 2021'!M44</f>
        <v>13254391.350000001</v>
      </c>
      <c r="F130" s="15">
        <f t="shared" si="17"/>
        <v>0.99565148494472788</v>
      </c>
      <c r="G130" s="450"/>
      <c r="H130" s="450"/>
      <c r="I130" s="449"/>
      <c r="J130" s="451"/>
      <c r="K130" s="451"/>
    </row>
    <row r="131" spans="1:20" ht="12" customHeight="1" x14ac:dyDescent="0.25">
      <c r="A131" s="449"/>
      <c r="B131" s="450"/>
      <c r="C131" s="137" t="s">
        <v>34</v>
      </c>
      <c r="D131" s="15">
        <f>'[3]табл.8 11.10.21'!G121</f>
        <v>22518700</v>
      </c>
      <c r="E131" s="33">
        <f>'[3]01 10 2021'!M37</f>
        <v>22377195.699999999</v>
      </c>
      <c r="F131" s="15">
        <f t="shared" si="17"/>
        <v>0.99371614258371932</v>
      </c>
      <c r="G131" s="450"/>
      <c r="H131" s="450"/>
      <c r="I131" s="449"/>
      <c r="J131" s="451"/>
      <c r="K131" s="451"/>
    </row>
    <row r="132" spans="1:20" ht="12" customHeight="1" x14ac:dyDescent="0.25">
      <c r="A132" s="449"/>
      <c r="B132" s="450"/>
      <c r="C132" s="137" t="s">
        <v>36</v>
      </c>
      <c r="D132" s="15">
        <f>'[3]табл.8 11.10.21'!I121</f>
        <v>0</v>
      </c>
      <c r="E132" s="15">
        <v>0</v>
      </c>
      <c r="F132" s="15">
        <v>0</v>
      </c>
      <c r="G132" s="450"/>
      <c r="H132" s="450"/>
      <c r="I132" s="449"/>
      <c r="J132" s="451"/>
      <c r="K132" s="451"/>
    </row>
    <row r="133" spans="1:20" s="22" customFormat="1" ht="12" customHeight="1" x14ac:dyDescent="0.25">
      <c r="A133" s="449" t="s">
        <v>81</v>
      </c>
      <c r="B133" s="450" t="s">
        <v>66</v>
      </c>
      <c r="C133" s="17" t="s">
        <v>28</v>
      </c>
      <c r="D133" s="18">
        <f>D134+D135+D136+D137</f>
        <v>0</v>
      </c>
      <c r="E133" s="18">
        <f>E134+E135+E136+E137</f>
        <v>0</v>
      </c>
      <c r="F133" s="18">
        <v>0</v>
      </c>
      <c r="G133" s="457"/>
      <c r="H133" s="19" t="s">
        <v>39</v>
      </c>
      <c r="I133" s="17"/>
      <c r="J133" s="451"/>
      <c r="K133" s="451"/>
      <c r="L133" s="20"/>
      <c r="M133" s="20"/>
      <c r="N133" s="20"/>
      <c r="O133" s="20"/>
      <c r="P133" s="20"/>
      <c r="Q133" s="21"/>
      <c r="R133" s="21"/>
      <c r="S133" s="21"/>
      <c r="T133" s="21"/>
    </row>
    <row r="134" spans="1:20" ht="12" customHeight="1" x14ac:dyDescent="0.25">
      <c r="A134" s="449"/>
      <c r="B134" s="450"/>
      <c r="C134" s="137" t="s">
        <v>30</v>
      </c>
      <c r="D134" s="15">
        <f>'[3]табл.8 11.10.21'!H127</f>
        <v>0</v>
      </c>
      <c r="E134" s="15">
        <v>0</v>
      </c>
      <c r="F134" s="15">
        <v>0</v>
      </c>
      <c r="G134" s="457"/>
      <c r="H134" s="156" t="s">
        <v>31</v>
      </c>
      <c r="I134" s="137"/>
      <c r="J134" s="451"/>
      <c r="K134" s="451"/>
    </row>
    <row r="135" spans="1:20" ht="12" customHeight="1" x14ac:dyDescent="0.25">
      <c r="A135" s="449"/>
      <c r="B135" s="450"/>
      <c r="C135" s="137" t="s">
        <v>32</v>
      </c>
      <c r="D135" s="15">
        <f>'[3]табл.8 11.10.21'!F127</f>
        <v>0</v>
      </c>
      <c r="E135" s="15">
        <v>0</v>
      </c>
      <c r="F135" s="15">
        <v>0</v>
      </c>
      <c r="G135" s="457"/>
      <c r="H135" s="156" t="s">
        <v>33</v>
      </c>
      <c r="I135" s="137"/>
      <c r="J135" s="451"/>
      <c r="K135" s="451"/>
    </row>
    <row r="136" spans="1:20" ht="12" customHeight="1" x14ac:dyDescent="0.25">
      <c r="A136" s="449"/>
      <c r="B136" s="450"/>
      <c r="C136" s="137" t="s">
        <v>34</v>
      </c>
      <c r="D136" s="15">
        <f>'[3]табл.8 11.10.21'!G127</f>
        <v>0</v>
      </c>
      <c r="E136" s="15">
        <v>0</v>
      </c>
      <c r="F136" s="15">
        <v>0</v>
      </c>
      <c r="G136" s="457"/>
      <c r="H136" s="156" t="s">
        <v>35</v>
      </c>
      <c r="I136" s="137"/>
      <c r="J136" s="451"/>
      <c r="K136" s="451"/>
    </row>
    <row r="137" spans="1:20" ht="12" customHeight="1" x14ac:dyDescent="0.25">
      <c r="A137" s="449"/>
      <c r="B137" s="450"/>
      <c r="C137" s="137" t="s">
        <v>36</v>
      </c>
      <c r="D137" s="15">
        <f>'[3]табл.8 11.10.21'!I127</f>
        <v>0</v>
      </c>
      <c r="E137" s="15">
        <v>0</v>
      </c>
      <c r="F137" s="15">
        <v>0</v>
      </c>
      <c r="G137" s="457"/>
      <c r="H137" s="156" t="s">
        <v>37</v>
      </c>
      <c r="I137" s="137"/>
      <c r="J137" s="451"/>
      <c r="K137" s="451"/>
    </row>
    <row r="138" spans="1:20" s="22" customFormat="1" ht="12" customHeight="1" x14ac:dyDescent="0.25">
      <c r="A138" s="490" t="s">
        <v>82</v>
      </c>
      <c r="B138" s="491" t="s">
        <v>83</v>
      </c>
      <c r="C138" s="42" t="s">
        <v>28</v>
      </c>
      <c r="D138" s="43">
        <f>D139+D140+D141+D142</f>
        <v>388749171.34000003</v>
      </c>
      <c r="E138" s="43">
        <f>E139+E140+E141+E142</f>
        <v>215668609.42250001</v>
      </c>
      <c r="F138" s="43">
        <f>E138/D138</f>
        <v>0.55477574056068213</v>
      </c>
      <c r="G138" s="492"/>
      <c r="H138" s="44" t="s">
        <v>39</v>
      </c>
      <c r="I138" s="42"/>
      <c r="J138" s="493"/>
      <c r="K138" s="493"/>
      <c r="L138" s="45">
        <f>L149+L154+L155+L164</f>
        <v>148206004.81</v>
      </c>
      <c r="M138" s="45">
        <f t="shared" ref="M138:P138" si="19">M149+M154+M155+M164</f>
        <v>0</v>
      </c>
      <c r="N138" s="45">
        <f t="shared" si="19"/>
        <v>148206004.81</v>
      </c>
      <c r="O138" s="45">
        <f t="shared" si="19"/>
        <v>111723621.50999999</v>
      </c>
      <c r="P138" s="45">
        <f t="shared" si="19"/>
        <v>36482383.300000004</v>
      </c>
      <c r="Q138" s="21">
        <f>Q149+Q154+Q155+Q164</f>
        <v>111723621.50999999</v>
      </c>
      <c r="R138" s="21"/>
      <c r="S138" s="21"/>
      <c r="T138" s="21"/>
    </row>
    <row r="139" spans="1:20" ht="12" customHeight="1" x14ac:dyDescent="0.25">
      <c r="A139" s="490"/>
      <c r="B139" s="491"/>
      <c r="C139" s="149" t="s">
        <v>30</v>
      </c>
      <c r="D139" s="47">
        <f>D144+D174+D204+D229</f>
        <v>326088130.02000004</v>
      </c>
      <c r="E139" s="47">
        <f>E144+E174+E204+E229</f>
        <v>180563881.24250001</v>
      </c>
      <c r="F139" s="43">
        <f t="shared" ref="F139:F142" si="20">E139/D139</f>
        <v>0.55372724309659915</v>
      </c>
      <c r="G139" s="492"/>
      <c r="H139" s="148" t="s">
        <v>31</v>
      </c>
      <c r="I139" s="149"/>
      <c r="J139" s="493"/>
      <c r="K139" s="493"/>
      <c r="L139" s="7"/>
      <c r="M139" s="7"/>
      <c r="N139" s="7"/>
      <c r="O139" s="7"/>
      <c r="P139" s="7"/>
    </row>
    <row r="140" spans="1:20" ht="12" customHeight="1" x14ac:dyDescent="0.25">
      <c r="A140" s="490"/>
      <c r="B140" s="491"/>
      <c r="C140" s="149" t="s">
        <v>32</v>
      </c>
      <c r="D140" s="47">
        <f t="shared" ref="D140:E142" si="21">D145+D175+D205+D230</f>
        <v>29369326.460000001</v>
      </c>
      <c r="E140" s="47">
        <f t="shared" si="21"/>
        <v>14182127.620000001</v>
      </c>
      <c r="F140" s="43">
        <f t="shared" si="20"/>
        <v>0.48288909993613793</v>
      </c>
      <c r="G140" s="492"/>
      <c r="H140" s="148" t="s">
        <v>33</v>
      </c>
      <c r="I140" s="149"/>
      <c r="J140" s="493"/>
      <c r="K140" s="493"/>
    </row>
    <row r="141" spans="1:20" ht="12" customHeight="1" x14ac:dyDescent="0.25">
      <c r="A141" s="490"/>
      <c r="B141" s="491"/>
      <c r="C141" s="149" t="s">
        <v>34</v>
      </c>
      <c r="D141" s="47">
        <f t="shared" si="21"/>
        <v>6514425.8600000003</v>
      </c>
      <c r="E141" s="47">
        <f t="shared" si="21"/>
        <v>0</v>
      </c>
      <c r="F141" s="43">
        <f t="shared" si="20"/>
        <v>0</v>
      </c>
      <c r="G141" s="492"/>
      <c r="H141" s="148" t="s">
        <v>35</v>
      </c>
      <c r="I141" s="149"/>
      <c r="J141" s="493"/>
      <c r="K141" s="493"/>
    </row>
    <row r="142" spans="1:20" ht="12" customHeight="1" x14ac:dyDescent="0.25">
      <c r="A142" s="490"/>
      <c r="B142" s="491"/>
      <c r="C142" s="149" t="s">
        <v>36</v>
      </c>
      <c r="D142" s="47">
        <f t="shared" si="21"/>
        <v>26777289</v>
      </c>
      <c r="E142" s="47">
        <f t="shared" si="21"/>
        <v>20922600.559999999</v>
      </c>
      <c r="F142" s="43">
        <f t="shared" si="20"/>
        <v>0.78135619180866289</v>
      </c>
      <c r="G142" s="492"/>
      <c r="H142" s="148" t="s">
        <v>37</v>
      </c>
      <c r="I142" s="149"/>
      <c r="J142" s="493"/>
      <c r="K142" s="493"/>
    </row>
    <row r="143" spans="1:20" s="22" customFormat="1" ht="12" customHeight="1" x14ac:dyDescent="0.25">
      <c r="A143" s="486" t="s">
        <v>84</v>
      </c>
      <c r="B143" s="487" t="s">
        <v>85</v>
      </c>
      <c r="C143" s="49" t="s">
        <v>28</v>
      </c>
      <c r="D143" s="50">
        <f>D144+D145+D146+D147</f>
        <v>282146155.38</v>
      </c>
      <c r="E143" s="50">
        <f>E144+E145+E146+E147</f>
        <v>215668609.42250001</v>
      </c>
      <c r="F143" s="50">
        <f>E143/D143</f>
        <v>0.76438613573179226</v>
      </c>
      <c r="G143" s="488"/>
      <c r="H143" s="51" t="s">
        <v>39</v>
      </c>
      <c r="I143" s="49"/>
      <c r="J143" s="489"/>
      <c r="K143" s="489"/>
      <c r="L143" s="20"/>
      <c r="M143" s="20"/>
      <c r="N143" s="20"/>
      <c r="O143" s="20"/>
      <c r="P143" s="20"/>
      <c r="Q143" s="21"/>
      <c r="R143" s="21"/>
      <c r="S143" s="21"/>
      <c r="T143" s="21"/>
    </row>
    <row r="144" spans="1:20" ht="12" customHeight="1" x14ac:dyDescent="0.25">
      <c r="A144" s="486"/>
      <c r="B144" s="487"/>
      <c r="C144" s="147" t="s">
        <v>30</v>
      </c>
      <c r="D144" s="53">
        <f>D149+D154+D159+D164+D169</f>
        <v>239850597.52000001</v>
      </c>
      <c r="E144" s="53">
        <f>E149+E154+E159+E164+E169</f>
        <v>180563881.24250001</v>
      </c>
      <c r="F144" s="53">
        <f t="shared" ref="F144:F169" si="22">E144/D144</f>
        <v>0.75281814224975463</v>
      </c>
      <c r="G144" s="488"/>
      <c r="H144" s="54" t="s">
        <v>31</v>
      </c>
      <c r="I144" s="147"/>
      <c r="J144" s="489"/>
      <c r="K144" s="489"/>
    </row>
    <row r="145" spans="1:20" ht="12" customHeight="1" x14ac:dyDescent="0.25">
      <c r="A145" s="486"/>
      <c r="B145" s="487"/>
      <c r="C145" s="147" t="s">
        <v>32</v>
      </c>
      <c r="D145" s="53">
        <f t="shared" ref="D145:E147" si="23">D150+D155+D160+D165+D170</f>
        <v>19010978.859999999</v>
      </c>
      <c r="E145" s="53">
        <f t="shared" si="23"/>
        <v>14182127.620000001</v>
      </c>
      <c r="F145" s="53">
        <f t="shared" si="22"/>
        <v>0.74599670666300455</v>
      </c>
      <c r="G145" s="488"/>
      <c r="H145" s="54" t="s">
        <v>33</v>
      </c>
      <c r="I145" s="147"/>
      <c r="J145" s="489"/>
      <c r="K145" s="489"/>
    </row>
    <row r="146" spans="1:20" ht="12" customHeight="1" x14ac:dyDescent="0.25">
      <c r="A146" s="486"/>
      <c r="B146" s="487"/>
      <c r="C146" s="147" t="s">
        <v>34</v>
      </c>
      <c r="D146" s="53">
        <f t="shared" si="23"/>
        <v>0</v>
      </c>
      <c r="E146" s="53">
        <f t="shared" si="23"/>
        <v>0</v>
      </c>
      <c r="F146" s="53">
        <v>0</v>
      </c>
      <c r="G146" s="488"/>
      <c r="H146" s="54" t="s">
        <v>35</v>
      </c>
      <c r="I146" s="147"/>
      <c r="J146" s="489"/>
      <c r="K146" s="489"/>
    </row>
    <row r="147" spans="1:20" ht="12" customHeight="1" x14ac:dyDescent="0.25">
      <c r="A147" s="486"/>
      <c r="B147" s="487"/>
      <c r="C147" s="147" t="s">
        <v>36</v>
      </c>
      <c r="D147" s="53">
        <f t="shared" si="23"/>
        <v>23284579</v>
      </c>
      <c r="E147" s="53">
        <f t="shared" si="23"/>
        <v>20922600.559999999</v>
      </c>
      <c r="F147" s="53">
        <f t="shared" si="22"/>
        <v>0.89856039742011218</v>
      </c>
      <c r="G147" s="488"/>
      <c r="H147" s="54" t="s">
        <v>37</v>
      </c>
      <c r="I147" s="147"/>
      <c r="J147" s="489"/>
      <c r="K147" s="489"/>
    </row>
    <row r="148" spans="1:20" s="22" customFormat="1" ht="12" customHeight="1" x14ac:dyDescent="0.25">
      <c r="A148" s="449" t="s">
        <v>86</v>
      </c>
      <c r="B148" s="450" t="s">
        <v>87</v>
      </c>
      <c r="C148" s="17" t="s">
        <v>28</v>
      </c>
      <c r="D148" s="18">
        <f>D149+D150+D151+D152</f>
        <v>132232077.08</v>
      </c>
      <c r="E148" s="18">
        <f>E149+E150+E151+E152</f>
        <v>109163160.38999999</v>
      </c>
      <c r="F148" s="18">
        <f t="shared" si="22"/>
        <v>0.82554220428645775</v>
      </c>
      <c r="G148" s="450" t="s">
        <v>48</v>
      </c>
      <c r="H148" s="450" t="s">
        <v>49</v>
      </c>
      <c r="I148" s="449" t="s">
        <v>50</v>
      </c>
      <c r="J148" s="451"/>
      <c r="K148" s="451"/>
      <c r="L148" s="20"/>
      <c r="M148" s="20"/>
      <c r="N148" s="20"/>
      <c r="O148" s="20"/>
      <c r="P148" s="20"/>
      <c r="Q148" s="21"/>
      <c r="R148" s="21"/>
      <c r="S148" s="21"/>
      <c r="T148" s="21"/>
    </row>
    <row r="149" spans="1:20" ht="12" customHeight="1" x14ac:dyDescent="0.25">
      <c r="A149" s="449"/>
      <c r="B149" s="450"/>
      <c r="C149" s="137" t="s">
        <v>30</v>
      </c>
      <c r="D149" s="15">
        <f>'[3]табл.8 11.10.21'!H145</f>
        <v>108947498.08</v>
      </c>
      <c r="E149" s="33">
        <f>'[3]01 10 2021'!M59+'[3]01 10 2021'!M60+'[3]01 10 2021'!M61+'[3]01 10 2021'!M62+'[3]01 10 2021'!M63+'[3]01 10 2021'!M64+'[3]01 10 2021'!M83+'[3]01 10 2021'!M84</f>
        <v>88240559.829999983</v>
      </c>
      <c r="F149" s="15">
        <f t="shared" si="22"/>
        <v>0.80993654177542529</v>
      </c>
      <c r="G149" s="450"/>
      <c r="H149" s="450"/>
      <c r="I149" s="449"/>
      <c r="J149" s="451"/>
      <c r="K149" s="451"/>
      <c r="L149" s="7">
        <f>'[3]01 10 2021'!H57+'[3]01 10 2021'!H58+'[3]01 10 2021'!H59+'[3]01 10 2021'!H60+'[3]01 10 2021'!H61+'[3]01 10 2021'!H62+'[3]01 10 2021'!H79+'[3]01 10 2021'!H80</f>
        <v>106069823.56999999</v>
      </c>
      <c r="M149" s="7">
        <f>'[3]01 10 2021'!I57+'[3]01 10 2021'!I58+'[3]01 10 2021'!I59+'[3]01 10 2021'!I60+'[3]01 10 2021'!I61+'[3]01 10 2021'!I62+'[3]01 10 2021'!I79+'[3]01 10 2021'!I80</f>
        <v>0</v>
      </c>
      <c r="N149" s="7">
        <f>'[3]01 10 2021'!J57+'[3]01 10 2021'!J58+'[3]01 10 2021'!J59+'[3]01 10 2021'!J60+'[3]01 10 2021'!J61+'[3]01 10 2021'!J62+'[3]01 10 2021'!J79+'[3]01 10 2021'!J80</f>
        <v>106069823.56999999</v>
      </c>
      <c r="O149" s="7">
        <f>'[3]01 10 2021'!K57+'[3]01 10 2021'!K58+'[3]01 10 2021'!K59+'[3]01 10 2021'!K60+'[3]01 10 2021'!K61+'[3]01 10 2021'!K62+'[3]01 10 2021'!K79+'[3]01 10 2021'!K80</f>
        <v>85915718.50999999</v>
      </c>
      <c r="P149" s="7">
        <f>'[3]01 10 2021'!L57+'[3]01 10 2021'!L58+'[3]01 10 2021'!L59+'[3]01 10 2021'!L60+'[3]01 10 2021'!L61+'[3]01 10 2021'!L62+'[3]01 10 2021'!L79+'[3]01 10 2021'!L80</f>
        <v>20154105.06000001</v>
      </c>
      <c r="Q149" s="7">
        <f>'[3]01 10 2021'!M57+'[3]01 10 2021'!M58+'[3]01 10 2021'!M59+'[3]01 10 2021'!M60+'[3]01 10 2021'!M61+'[3]01 10 2021'!M62+'[3]01 10 2021'!M79+'[3]01 10 2021'!M80</f>
        <v>85915718.50999999</v>
      </c>
    </row>
    <row r="150" spans="1:20" ht="12" customHeight="1" x14ac:dyDescent="0.25">
      <c r="A150" s="449"/>
      <c r="B150" s="450"/>
      <c r="C150" s="137" t="s">
        <v>32</v>
      </c>
      <c r="D150" s="15">
        <f>'[3]табл.8 11.10.21'!F145</f>
        <v>0</v>
      </c>
      <c r="E150" s="15">
        <v>0</v>
      </c>
      <c r="F150" s="15">
        <v>0</v>
      </c>
      <c r="G150" s="450"/>
      <c r="H150" s="450"/>
      <c r="I150" s="449"/>
      <c r="J150" s="451"/>
      <c r="K150" s="451"/>
    </row>
    <row r="151" spans="1:20" ht="12" customHeight="1" x14ac:dyDescent="0.25">
      <c r="A151" s="449"/>
      <c r="B151" s="450"/>
      <c r="C151" s="137" t="s">
        <v>34</v>
      </c>
      <c r="D151" s="15">
        <f>'[3]табл.8 11.10.21'!G145</f>
        <v>0</v>
      </c>
      <c r="E151" s="15">
        <v>0</v>
      </c>
      <c r="F151" s="15">
        <v>0</v>
      </c>
      <c r="G151" s="450"/>
      <c r="H151" s="450"/>
      <c r="I151" s="449"/>
      <c r="J151" s="451"/>
      <c r="K151" s="451"/>
    </row>
    <row r="152" spans="1:20" ht="12" customHeight="1" x14ac:dyDescent="0.25">
      <c r="A152" s="449"/>
      <c r="B152" s="450"/>
      <c r="C152" s="137" t="s">
        <v>36</v>
      </c>
      <c r="D152" s="15">
        <f>'[3]табл.8 11.10.21'!I145</f>
        <v>23284579</v>
      </c>
      <c r="E152" s="33">
        <f>'[4]01.10.'!$I$48</f>
        <v>20922600.559999999</v>
      </c>
      <c r="F152" s="15">
        <f t="shared" si="22"/>
        <v>0.89856039742011218</v>
      </c>
      <c r="G152" s="450"/>
      <c r="H152" s="450"/>
      <c r="I152" s="449"/>
      <c r="J152" s="451"/>
      <c r="K152" s="451"/>
    </row>
    <row r="153" spans="1:20" s="22" customFormat="1" ht="12" customHeight="1" x14ac:dyDescent="0.25">
      <c r="A153" s="449" t="s">
        <v>88</v>
      </c>
      <c r="B153" s="450" t="s">
        <v>89</v>
      </c>
      <c r="C153" s="17" t="s">
        <v>28</v>
      </c>
      <c r="D153" s="18">
        <f>D154+D155+D156+D157</f>
        <v>20799343.410000004</v>
      </c>
      <c r="E153" s="18">
        <f>E154+E155+E156+E157</f>
        <v>15490350.99</v>
      </c>
      <c r="F153" s="18">
        <f t="shared" si="22"/>
        <v>0.74475192243580524</v>
      </c>
      <c r="G153" s="450" t="s">
        <v>48</v>
      </c>
      <c r="H153" s="450" t="s">
        <v>49</v>
      </c>
      <c r="I153" s="449" t="s">
        <v>50</v>
      </c>
      <c r="J153" s="451"/>
      <c r="K153" s="451"/>
      <c r="L153" s="20"/>
      <c r="M153" s="20"/>
      <c r="N153" s="20"/>
      <c r="O153" s="20"/>
      <c r="P153" s="20"/>
      <c r="Q153" s="21"/>
      <c r="R153" s="21"/>
      <c r="S153" s="21"/>
      <c r="T153" s="21"/>
    </row>
    <row r="154" spans="1:20" ht="12" customHeight="1" x14ac:dyDescent="0.25">
      <c r="A154" s="449"/>
      <c r="B154" s="450"/>
      <c r="C154" s="137" t="s">
        <v>30</v>
      </c>
      <c r="D154" s="15">
        <f>'[3]табл.8 11.10.21'!H151</f>
        <v>8249250.290000001</v>
      </c>
      <c r="E154" s="33">
        <v>6153887.6799999997</v>
      </c>
      <c r="F154" s="15">
        <f t="shared" si="22"/>
        <v>0.7459935707684775</v>
      </c>
      <c r="G154" s="450"/>
      <c r="H154" s="450"/>
      <c r="I154" s="449"/>
      <c r="J154" s="451"/>
      <c r="K154" s="451"/>
      <c r="L154" s="12">
        <f>'[3]01 10 2021'!H66+'[3]01 10 2021'!H67+'[3]01 10 2021'!H68+'[3]01 10 2021'!H69</f>
        <v>20552409.57</v>
      </c>
      <c r="M154" s="12">
        <f>'[3]01 10 2021'!I66+'[3]01 10 2021'!I67+'[3]01 10 2021'!I68+'[3]01 10 2021'!I69</f>
        <v>0</v>
      </c>
      <c r="N154" s="12">
        <f>'[3]01 10 2021'!J66+'[3]01 10 2021'!J67+'[3]01 10 2021'!J68+'[3]01 10 2021'!J69</f>
        <v>20552409.57</v>
      </c>
      <c r="O154" s="12">
        <f>'[3]01 10 2021'!K66+'[3]01 10 2021'!K67+'[3]01 10 2021'!K68+'[3]01 10 2021'!K69</f>
        <v>15344686.560000001</v>
      </c>
      <c r="P154" s="12">
        <f>'[3]01 10 2021'!L66+'[3]01 10 2021'!L67+'[3]01 10 2021'!L68+'[3]01 10 2021'!L69</f>
        <v>5207723.0099999988</v>
      </c>
      <c r="Q154" s="7">
        <f>'[3]01 10 2021'!M66+'[3]01 10 2021'!M67+'[3]01 10 2021'!M68+'[3]01 10 2021'!M69</f>
        <v>15344686.560000001</v>
      </c>
      <c r="R154" s="7">
        <f>D154+D159</f>
        <v>112785444.44000001</v>
      </c>
      <c r="S154" s="7">
        <f>E154+E159</f>
        <v>84556033.292500019</v>
      </c>
    </row>
    <row r="155" spans="1:20" ht="12" customHeight="1" x14ac:dyDescent="0.25">
      <c r="A155" s="449"/>
      <c r="B155" s="450"/>
      <c r="C155" s="137" t="s">
        <v>32</v>
      </c>
      <c r="D155" s="15">
        <f>'[3]табл.8 11.10.21'!F151</f>
        <v>12550093.120000001</v>
      </c>
      <c r="E155" s="33">
        <v>9336463.3100000005</v>
      </c>
      <c r="F155" s="15">
        <f t="shared" si="22"/>
        <v>0.74393577965738633</v>
      </c>
      <c r="G155" s="450"/>
      <c r="H155" s="450"/>
      <c r="I155" s="449"/>
      <c r="J155" s="451"/>
      <c r="K155" s="451"/>
      <c r="L155" s="12">
        <f>'[3]01 10 2021'!H64+'[3]01 10 2021'!H65</f>
        <v>19340975.02</v>
      </c>
      <c r="M155" s="12">
        <f>'[3]01 10 2021'!I64+'[3]01 10 2021'!I65</f>
        <v>0</v>
      </c>
      <c r="N155" s="12">
        <f>'[3]01 10 2021'!J64+'[3]01 10 2021'!J65</f>
        <v>19340975.02</v>
      </c>
      <c r="O155" s="12">
        <f>'[3]01 10 2021'!K64+'[3]01 10 2021'!K65</f>
        <v>8990608.1400000006</v>
      </c>
      <c r="P155" s="12">
        <f>'[3]01 10 2021'!L64+'[3]01 10 2021'!L65</f>
        <v>10350366.879999999</v>
      </c>
      <c r="Q155" s="7">
        <f>'[3]01 10 2021'!M64+'[3]01 10 2021'!M65</f>
        <v>8990608.1400000006</v>
      </c>
      <c r="R155" s="7">
        <f>D155+D160</f>
        <v>19010978.859999999</v>
      </c>
      <c r="S155" s="7">
        <f>E155+E160</f>
        <v>14182127.620000001</v>
      </c>
    </row>
    <row r="156" spans="1:20" ht="12" customHeight="1" x14ac:dyDescent="0.25">
      <c r="A156" s="449"/>
      <c r="B156" s="450"/>
      <c r="C156" s="137" t="s">
        <v>34</v>
      </c>
      <c r="D156" s="15">
        <f>'[3]табл.8 11.10.21'!G151</f>
        <v>0</v>
      </c>
      <c r="E156" s="15">
        <v>0</v>
      </c>
      <c r="F156" s="15">
        <v>0</v>
      </c>
      <c r="G156" s="450"/>
      <c r="H156" s="450"/>
      <c r="I156" s="449"/>
      <c r="J156" s="451"/>
      <c r="K156" s="451"/>
      <c r="L156" s="12"/>
    </row>
    <row r="157" spans="1:20" ht="12" customHeight="1" x14ac:dyDescent="0.25">
      <c r="A157" s="449"/>
      <c r="B157" s="450"/>
      <c r="C157" s="137" t="s">
        <v>36</v>
      </c>
      <c r="D157" s="15">
        <f>'[3]табл.8 11.10.21'!I151</f>
        <v>0</v>
      </c>
      <c r="E157" s="15">
        <v>0</v>
      </c>
      <c r="F157" s="15">
        <v>0</v>
      </c>
      <c r="G157" s="450"/>
      <c r="H157" s="450"/>
      <c r="I157" s="449"/>
      <c r="J157" s="451"/>
      <c r="K157" s="451"/>
      <c r="L157" s="12"/>
    </row>
    <row r="158" spans="1:20" s="22" customFormat="1" ht="19.5" customHeight="1" x14ac:dyDescent="0.25">
      <c r="A158" s="449" t="s">
        <v>90</v>
      </c>
      <c r="B158" s="450" t="s">
        <v>91</v>
      </c>
      <c r="C158" s="17" t="s">
        <v>28</v>
      </c>
      <c r="D158" s="18">
        <f>D159+D160+D161+D162</f>
        <v>110997079.89</v>
      </c>
      <c r="E158" s="18">
        <f>E159+E160+E161+E162</f>
        <v>83247809.922500014</v>
      </c>
      <c r="F158" s="18">
        <f t="shared" si="22"/>
        <v>0.7500000000450463</v>
      </c>
      <c r="G158" s="457"/>
      <c r="H158" s="19" t="s">
        <v>39</v>
      </c>
      <c r="I158" s="17"/>
      <c r="J158" s="451"/>
      <c r="K158" s="451"/>
      <c r="L158" s="12"/>
      <c r="M158" s="20"/>
      <c r="N158" s="20"/>
      <c r="O158" s="20"/>
      <c r="P158" s="20"/>
      <c r="Q158" s="21"/>
      <c r="R158" s="21"/>
      <c r="S158" s="21"/>
      <c r="T158" s="21"/>
    </row>
    <row r="159" spans="1:20" ht="12" customHeight="1" x14ac:dyDescent="0.25">
      <c r="A159" s="449"/>
      <c r="B159" s="450"/>
      <c r="C159" s="137" t="s">
        <v>30</v>
      </c>
      <c r="D159" s="15">
        <f>'[3]табл.8 11.10.21'!H157</f>
        <v>104536194.15000001</v>
      </c>
      <c r="E159" s="33">
        <f>D159*0.75</f>
        <v>78402145.612500012</v>
      </c>
      <c r="F159" s="15">
        <f t="shared" si="22"/>
        <v>0.75000000000000011</v>
      </c>
      <c r="G159" s="457"/>
      <c r="H159" s="156" t="s">
        <v>31</v>
      </c>
      <c r="I159" s="137"/>
      <c r="J159" s="451"/>
      <c r="K159" s="451"/>
      <c r="L159" s="12"/>
    </row>
    <row r="160" spans="1:20" ht="12" customHeight="1" x14ac:dyDescent="0.25">
      <c r="A160" s="449"/>
      <c r="B160" s="450"/>
      <c r="C160" s="137" t="s">
        <v>32</v>
      </c>
      <c r="D160" s="15">
        <f>'[3]табл.8 11.10.21'!F157</f>
        <v>6460885.7400000002</v>
      </c>
      <c r="E160" s="33">
        <v>4845664.3099999996</v>
      </c>
      <c r="F160" s="15">
        <f t="shared" si="22"/>
        <v>0.75000000077388762</v>
      </c>
      <c r="G160" s="457"/>
      <c r="H160" s="156" t="s">
        <v>33</v>
      </c>
      <c r="I160" s="137"/>
      <c r="J160" s="451"/>
      <c r="K160" s="451"/>
      <c r="L160" s="12"/>
    </row>
    <row r="161" spans="1:20" ht="12" customHeight="1" x14ac:dyDescent="0.25">
      <c r="A161" s="449"/>
      <c r="B161" s="450"/>
      <c r="C161" s="137" t="s">
        <v>34</v>
      </c>
      <c r="D161" s="15">
        <f>'[3]табл.8 11.10.21'!G157</f>
        <v>0</v>
      </c>
      <c r="E161" s="15">
        <v>0</v>
      </c>
      <c r="F161" s="15">
        <v>0</v>
      </c>
      <c r="G161" s="457"/>
      <c r="H161" s="156" t="s">
        <v>35</v>
      </c>
      <c r="I161" s="137"/>
      <c r="J161" s="451"/>
      <c r="K161" s="451"/>
    </row>
    <row r="162" spans="1:20" ht="12" customHeight="1" x14ac:dyDescent="0.25">
      <c r="A162" s="449"/>
      <c r="B162" s="450"/>
      <c r="C162" s="137" t="s">
        <v>36</v>
      </c>
      <c r="D162" s="15">
        <f>'[3]табл.8 11.10.21'!I157</f>
        <v>0</v>
      </c>
      <c r="E162" s="15">
        <v>0</v>
      </c>
      <c r="F162" s="15">
        <v>0</v>
      </c>
      <c r="G162" s="457"/>
      <c r="H162" s="156" t="s">
        <v>37</v>
      </c>
      <c r="I162" s="137"/>
      <c r="J162" s="451"/>
      <c r="K162" s="451"/>
    </row>
    <row r="163" spans="1:20" s="22" customFormat="1" ht="12" customHeight="1" x14ac:dyDescent="0.25">
      <c r="A163" s="449" t="s">
        <v>92</v>
      </c>
      <c r="B163" s="450" t="s">
        <v>93</v>
      </c>
      <c r="C163" s="17" t="s">
        <v>28</v>
      </c>
      <c r="D163" s="18">
        <f>D164+D165+D166+D167</f>
        <v>17827072</v>
      </c>
      <c r="E163" s="18">
        <f>E164+E165+E166+E167</f>
        <v>7647015.6799999997</v>
      </c>
      <c r="F163" s="18">
        <f t="shared" si="22"/>
        <v>0.42895522495225236</v>
      </c>
      <c r="G163" s="457"/>
      <c r="H163" s="19" t="s">
        <v>39</v>
      </c>
      <c r="I163" s="17"/>
      <c r="J163" s="451"/>
      <c r="K163" s="451"/>
      <c r="L163" s="20"/>
      <c r="M163" s="20"/>
      <c r="N163" s="20"/>
      <c r="O163" s="20"/>
      <c r="P163" s="20"/>
      <c r="Q163" s="21"/>
      <c r="R163" s="21"/>
      <c r="S163" s="21"/>
      <c r="T163" s="21"/>
    </row>
    <row r="164" spans="1:20" ht="12" customHeight="1" x14ac:dyDescent="0.25">
      <c r="A164" s="449"/>
      <c r="B164" s="450"/>
      <c r="C164" s="137" t="s">
        <v>30</v>
      </c>
      <c r="D164" s="15">
        <f>'[3]табл.8 11.10.21'!H163</f>
        <v>17827072</v>
      </c>
      <c r="E164" s="33">
        <f>'[3]01 10 2021'!M65-E169</f>
        <v>7647015.6799999997</v>
      </c>
      <c r="F164" s="15">
        <f t="shared" si="22"/>
        <v>0.42895522495225236</v>
      </c>
      <c r="G164" s="457"/>
      <c r="H164" s="156" t="s">
        <v>31</v>
      </c>
      <c r="I164" s="137"/>
      <c r="J164" s="451"/>
      <c r="K164" s="451"/>
      <c r="L164" s="7">
        <f>'[3]01 10 2021'!H63</f>
        <v>2242796.65</v>
      </c>
      <c r="M164" s="7">
        <f>'[3]01 10 2021'!I63</f>
        <v>0</v>
      </c>
      <c r="N164" s="7">
        <f>'[3]01 10 2021'!J63</f>
        <v>2242796.65</v>
      </c>
      <c r="O164" s="7">
        <f>'[3]01 10 2021'!K63</f>
        <v>1472608.3</v>
      </c>
      <c r="P164" s="7">
        <f>'[3]01 10 2021'!L63</f>
        <v>770188.34999999986</v>
      </c>
      <c r="Q164" s="7">
        <f>'[3]01 10 2021'!M63</f>
        <v>1472608.3</v>
      </c>
    </row>
    <row r="165" spans="1:20" ht="12" customHeight="1" x14ac:dyDescent="0.25">
      <c r="A165" s="449"/>
      <c r="B165" s="450"/>
      <c r="C165" s="137" t="s">
        <v>32</v>
      </c>
      <c r="D165" s="15">
        <f>'[3]табл.8 11.10.21'!F163</f>
        <v>0</v>
      </c>
      <c r="E165" s="15">
        <v>0</v>
      </c>
      <c r="F165" s="15">
        <v>0</v>
      </c>
      <c r="G165" s="457"/>
      <c r="H165" s="156" t="s">
        <v>33</v>
      </c>
      <c r="I165" s="137"/>
      <c r="J165" s="451"/>
      <c r="K165" s="451"/>
    </row>
    <row r="166" spans="1:20" ht="12" customHeight="1" x14ac:dyDescent="0.25">
      <c r="A166" s="449"/>
      <c r="B166" s="450"/>
      <c r="C166" s="137" t="s">
        <v>34</v>
      </c>
      <c r="D166" s="15">
        <f>'[3]табл.8 11.10.21'!G163</f>
        <v>0</v>
      </c>
      <c r="E166" s="15">
        <v>0</v>
      </c>
      <c r="F166" s="15">
        <v>0</v>
      </c>
      <c r="G166" s="457"/>
      <c r="H166" s="156" t="s">
        <v>35</v>
      </c>
      <c r="I166" s="137"/>
      <c r="J166" s="451"/>
      <c r="K166" s="451"/>
    </row>
    <row r="167" spans="1:20" ht="12" customHeight="1" x14ac:dyDescent="0.25">
      <c r="A167" s="449"/>
      <c r="B167" s="450"/>
      <c r="C167" s="137" t="s">
        <v>36</v>
      </c>
      <c r="D167" s="15">
        <f>'[3]табл.8 11.10.21'!I163</f>
        <v>0</v>
      </c>
      <c r="E167" s="15">
        <v>0</v>
      </c>
      <c r="F167" s="15">
        <v>0</v>
      </c>
      <c r="G167" s="457"/>
      <c r="H167" s="156" t="s">
        <v>37</v>
      </c>
      <c r="I167" s="137"/>
      <c r="J167" s="451"/>
      <c r="K167" s="451"/>
    </row>
    <row r="168" spans="1:20" s="22" customFormat="1" ht="15" customHeight="1" x14ac:dyDescent="0.25">
      <c r="A168" s="449" t="s">
        <v>94</v>
      </c>
      <c r="B168" s="450" t="s">
        <v>95</v>
      </c>
      <c r="C168" s="17" t="s">
        <v>28</v>
      </c>
      <c r="D168" s="18">
        <f>D169+D170+D171+D172</f>
        <v>290583</v>
      </c>
      <c r="E168" s="18">
        <f>E169+E170+E171+E172</f>
        <v>120272.44</v>
      </c>
      <c r="F168" s="18">
        <f t="shared" si="22"/>
        <v>0.41390046905703365</v>
      </c>
      <c r="G168" s="450" t="s">
        <v>48</v>
      </c>
      <c r="H168" s="450" t="s">
        <v>49</v>
      </c>
      <c r="I168" s="449" t="s">
        <v>50</v>
      </c>
      <c r="J168" s="451"/>
      <c r="K168" s="451"/>
      <c r="L168" s="20"/>
      <c r="M168" s="20"/>
      <c r="N168" s="20"/>
      <c r="O168" s="20"/>
      <c r="P168" s="20"/>
      <c r="Q168" s="21"/>
      <c r="R168" s="21"/>
      <c r="S168" s="21"/>
      <c r="T168" s="21"/>
    </row>
    <row r="169" spans="1:20" ht="15" customHeight="1" x14ac:dyDescent="0.25">
      <c r="A169" s="449"/>
      <c r="B169" s="450"/>
      <c r="C169" s="137" t="s">
        <v>30</v>
      </c>
      <c r="D169" s="15">
        <f>'[3]табл.8 11.10.21'!H169</f>
        <v>290583</v>
      </c>
      <c r="E169" s="132">
        <f>17123.12+15749.51+19338.37+18792.5+19568.58+261.23+29439.13</f>
        <v>120272.44</v>
      </c>
      <c r="F169" s="15">
        <f t="shared" si="22"/>
        <v>0.41390046905703365</v>
      </c>
      <c r="G169" s="450"/>
      <c r="H169" s="450"/>
      <c r="I169" s="449"/>
      <c r="J169" s="451"/>
      <c r="K169" s="451"/>
    </row>
    <row r="170" spans="1:20" ht="15" customHeight="1" x14ac:dyDescent="0.25">
      <c r="A170" s="449"/>
      <c r="B170" s="450"/>
      <c r="C170" s="137" t="s">
        <v>32</v>
      </c>
      <c r="D170" s="15">
        <f>'[3]табл.8 11.10.21'!F169</f>
        <v>0</v>
      </c>
      <c r="E170" s="15">
        <v>0</v>
      </c>
      <c r="F170" s="15">
        <v>0</v>
      </c>
      <c r="G170" s="450"/>
      <c r="H170" s="450"/>
      <c r="I170" s="449"/>
      <c r="J170" s="451"/>
      <c r="K170" s="451"/>
    </row>
    <row r="171" spans="1:20" ht="15" customHeight="1" x14ac:dyDescent="0.25">
      <c r="A171" s="449"/>
      <c r="B171" s="450"/>
      <c r="C171" s="137" t="s">
        <v>34</v>
      </c>
      <c r="D171" s="15">
        <f>'[3]табл.8 11.10.21'!G169</f>
        <v>0</v>
      </c>
      <c r="E171" s="15">
        <v>0</v>
      </c>
      <c r="F171" s="15">
        <v>0</v>
      </c>
      <c r="G171" s="450"/>
      <c r="H171" s="450"/>
      <c r="I171" s="449"/>
      <c r="J171" s="451"/>
      <c r="K171" s="451"/>
    </row>
    <row r="172" spans="1:20" ht="15" customHeight="1" x14ac:dyDescent="0.25">
      <c r="A172" s="449"/>
      <c r="B172" s="450"/>
      <c r="C172" s="137" t="s">
        <v>36</v>
      </c>
      <c r="D172" s="15">
        <f>'[3]табл.8 11.10.21'!I169</f>
        <v>0</v>
      </c>
      <c r="E172" s="15">
        <v>0</v>
      </c>
      <c r="F172" s="15">
        <v>0</v>
      </c>
      <c r="G172" s="450"/>
      <c r="H172" s="450"/>
      <c r="I172" s="449"/>
      <c r="J172" s="451"/>
      <c r="K172" s="451"/>
    </row>
    <row r="173" spans="1:20" s="60" customFormat="1" ht="12" customHeight="1" x14ac:dyDescent="0.25">
      <c r="A173" s="482" t="s">
        <v>96</v>
      </c>
      <c r="B173" s="483" t="s">
        <v>97</v>
      </c>
      <c r="C173" s="146" t="s">
        <v>28</v>
      </c>
      <c r="D173" s="56">
        <f>D174+D175+D176+D177</f>
        <v>87906324.580000013</v>
      </c>
      <c r="E173" s="56">
        <f>E174+E175+E176+E177</f>
        <v>0</v>
      </c>
      <c r="F173" s="56">
        <f>E173/D173</f>
        <v>0</v>
      </c>
      <c r="G173" s="484"/>
      <c r="H173" s="57" t="s">
        <v>39</v>
      </c>
      <c r="I173" s="146"/>
      <c r="J173" s="485"/>
      <c r="K173" s="485"/>
      <c r="L173" s="58"/>
      <c r="M173" s="58"/>
      <c r="N173" s="58"/>
      <c r="O173" s="58"/>
      <c r="P173" s="58"/>
      <c r="Q173" s="59"/>
      <c r="R173" s="59"/>
      <c r="S173" s="59"/>
      <c r="T173" s="59"/>
    </row>
    <row r="174" spans="1:20" s="60" customFormat="1" ht="12" customHeight="1" x14ac:dyDescent="0.25">
      <c r="A174" s="482"/>
      <c r="B174" s="483"/>
      <c r="C174" s="146" t="s">
        <v>30</v>
      </c>
      <c r="D174" s="56">
        <f>D179+D184+D189+D194+D199</f>
        <v>80550308.13000001</v>
      </c>
      <c r="E174" s="56">
        <f>E179+E184+E189+E194+E199</f>
        <v>0</v>
      </c>
      <c r="F174" s="56">
        <f t="shared" ref="F174:F189" si="24">E174/D174</f>
        <v>0</v>
      </c>
      <c r="G174" s="484"/>
      <c r="H174" s="57" t="s">
        <v>31</v>
      </c>
      <c r="I174" s="146"/>
      <c r="J174" s="485"/>
      <c r="K174" s="485"/>
      <c r="L174" s="58"/>
      <c r="M174" s="58"/>
      <c r="N174" s="58"/>
      <c r="O174" s="58"/>
      <c r="P174" s="58"/>
      <c r="Q174" s="59"/>
      <c r="R174" s="59"/>
      <c r="S174" s="59"/>
      <c r="T174" s="59"/>
    </row>
    <row r="175" spans="1:20" s="60" customFormat="1" ht="12" customHeight="1" x14ac:dyDescent="0.25">
      <c r="A175" s="482"/>
      <c r="B175" s="483"/>
      <c r="C175" s="146" t="s">
        <v>32</v>
      </c>
      <c r="D175" s="56">
        <f t="shared" ref="D175:E177" si="25">D180+D185+D190+D195+D200</f>
        <v>3863306.45</v>
      </c>
      <c r="E175" s="56">
        <f t="shared" si="25"/>
        <v>0</v>
      </c>
      <c r="F175" s="56">
        <f t="shared" si="24"/>
        <v>0</v>
      </c>
      <c r="G175" s="484"/>
      <c r="H175" s="57" t="s">
        <v>33</v>
      </c>
      <c r="I175" s="146"/>
      <c r="J175" s="485"/>
      <c r="K175" s="485"/>
      <c r="L175" s="58"/>
      <c r="M175" s="58"/>
      <c r="N175" s="58"/>
      <c r="O175" s="58"/>
      <c r="P175" s="58"/>
      <c r="Q175" s="59"/>
      <c r="R175" s="59"/>
      <c r="S175" s="59"/>
      <c r="T175" s="59"/>
    </row>
    <row r="176" spans="1:20" s="60" customFormat="1" ht="12" customHeight="1" x14ac:dyDescent="0.25">
      <c r="A176" s="482"/>
      <c r="B176" s="483"/>
      <c r="C176" s="146" t="s">
        <v>34</v>
      </c>
      <c r="D176" s="56">
        <f t="shared" si="25"/>
        <v>0</v>
      </c>
      <c r="E176" s="56">
        <f t="shared" si="25"/>
        <v>0</v>
      </c>
      <c r="F176" s="56">
        <v>0</v>
      </c>
      <c r="G176" s="484"/>
      <c r="H176" s="57" t="s">
        <v>35</v>
      </c>
      <c r="I176" s="146"/>
      <c r="J176" s="485"/>
      <c r="K176" s="485"/>
      <c r="L176" s="58"/>
      <c r="M176" s="58"/>
      <c r="N176" s="58"/>
      <c r="O176" s="58"/>
      <c r="P176" s="58"/>
      <c r="Q176" s="59"/>
      <c r="R176" s="59"/>
      <c r="S176" s="59"/>
      <c r="T176" s="59"/>
    </row>
    <row r="177" spans="1:20" s="60" customFormat="1" ht="12" customHeight="1" x14ac:dyDescent="0.25">
      <c r="A177" s="482"/>
      <c r="B177" s="483"/>
      <c r="C177" s="146" t="s">
        <v>36</v>
      </c>
      <c r="D177" s="56">
        <f t="shared" si="25"/>
        <v>3492710</v>
      </c>
      <c r="E177" s="56">
        <f t="shared" si="25"/>
        <v>0</v>
      </c>
      <c r="F177" s="56">
        <f t="shared" si="24"/>
        <v>0</v>
      </c>
      <c r="G177" s="484"/>
      <c r="H177" s="57" t="s">
        <v>37</v>
      </c>
      <c r="I177" s="146"/>
      <c r="J177" s="485"/>
      <c r="K177" s="485"/>
      <c r="L177" s="58"/>
      <c r="M177" s="58"/>
      <c r="N177" s="58"/>
      <c r="O177" s="58"/>
      <c r="P177" s="58"/>
      <c r="Q177" s="59"/>
      <c r="R177" s="59"/>
      <c r="S177" s="59"/>
      <c r="T177" s="59"/>
    </row>
    <row r="178" spans="1:20" s="22" customFormat="1" ht="12" customHeight="1" x14ac:dyDescent="0.25">
      <c r="A178" s="480" t="s">
        <v>98</v>
      </c>
      <c r="B178" s="481" t="s">
        <v>99</v>
      </c>
      <c r="C178" s="61" t="s">
        <v>28</v>
      </c>
      <c r="D178" s="62">
        <f>D179+D180+D181+D182</f>
        <v>28803154.210000001</v>
      </c>
      <c r="E178" s="62">
        <f>E179+E180+E181+E182</f>
        <v>0</v>
      </c>
      <c r="F178" s="62">
        <f t="shared" si="24"/>
        <v>0</v>
      </c>
      <c r="G178" s="450" t="s">
        <v>48</v>
      </c>
      <c r="H178" s="450" t="s">
        <v>49</v>
      </c>
      <c r="I178" s="449" t="s">
        <v>50</v>
      </c>
      <c r="J178" s="451"/>
      <c r="K178" s="451"/>
      <c r="L178" s="20"/>
      <c r="M178" s="20"/>
      <c r="N178" s="20"/>
      <c r="O178" s="20"/>
      <c r="P178" s="20"/>
      <c r="Q178" s="21"/>
      <c r="R178" s="21"/>
      <c r="S178" s="21"/>
      <c r="T178" s="21"/>
    </row>
    <row r="179" spans="1:20" ht="12" customHeight="1" x14ac:dyDescent="0.25">
      <c r="A179" s="480"/>
      <c r="B179" s="481"/>
      <c r="C179" s="63" t="s">
        <v>30</v>
      </c>
      <c r="D179" s="64">
        <f>'[3]табл.8 11.10.21'!H181</f>
        <v>25310444.210000001</v>
      </c>
      <c r="E179" s="64"/>
      <c r="F179" s="64">
        <f t="shared" si="24"/>
        <v>0</v>
      </c>
      <c r="G179" s="450"/>
      <c r="H179" s="450"/>
      <c r="I179" s="449"/>
      <c r="J179" s="451"/>
      <c r="K179" s="451"/>
    </row>
    <row r="180" spans="1:20" ht="12" customHeight="1" x14ac:dyDescent="0.25">
      <c r="A180" s="480"/>
      <c r="B180" s="481"/>
      <c r="C180" s="63" t="s">
        <v>32</v>
      </c>
      <c r="D180" s="64">
        <f>'[3]табл.8 11.10.21'!F181</f>
        <v>0</v>
      </c>
      <c r="E180" s="64">
        <v>0</v>
      </c>
      <c r="F180" s="64">
        <v>0</v>
      </c>
      <c r="G180" s="450"/>
      <c r="H180" s="450"/>
      <c r="I180" s="449"/>
      <c r="J180" s="451"/>
      <c r="K180" s="451"/>
    </row>
    <row r="181" spans="1:20" ht="12" customHeight="1" x14ac:dyDescent="0.25">
      <c r="A181" s="480"/>
      <c r="B181" s="481"/>
      <c r="C181" s="63" t="s">
        <v>34</v>
      </c>
      <c r="D181" s="64">
        <f>'[3]табл.8 11.10.21'!G181</f>
        <v>0</v>
      </c>
      <c r="E181" s="64">
        <v>0</v>
      </c>
      <c r="F181" s="64">
        <v>0</v>
      </c>
      <c r="G181" s="450"/>
      <c r="H181" s="450"/>
      <c r="I181" s="449"/>
      <c r="J181" s="451"/>
      <c r="K181" s="451"/>
    </row>
    <row r="182" spans="1:20" ht="12" customHeight="1" x14ac:dyDescent="0.25">
      <c r="A182" s="480"/>
      <c r="B182" s="481"/>
      <c r="C182" s="63" t="s">
        <v>36</v>
      </c>
      <c r="D182" s="64">
        <f>'[3]табл.8 11.10.21'!I181</f>
        <v>3492710</v>
      </c>
      <c r="E182" s="64"/>
      <c r="F182" s="64">
        <f t="shared" si="24"/>
        <v>0</v>
      </c>
      <c r="G182" s="450"/>
      <c r="H182" s="450"/>
      <c r="I182" s="449"/>
      <c r="J182" s="451"/>
      <c r="K182" s="451"/>
    </row>
    <row r="183" spans="1:20" s="22" customFormat="1" ht="18.75" customHeight="1" x14ac:dyDescent="0.25">
      <c r="A183" s="449" t="s">
        <v>100</v>
      </c>
      <c r="B183" s="450" t="s">
        <v>101</v>
      </c>
      <c r="C183" s="17" t="s">
        <v>28</v>
      </c>
      <c r="D183" s="18">
        <f>D184+D185+D186+D187</f>
        <v>56427122.810000002</v>
      </c>
      <c r="E183" s="18">
        <f>E184+E185+E186+E187</f>
        <v>0</v>
      </c>
      <c r="F183" s="18">
        <f t="shared" si="24"/>
        <v>0</v>
      </c>
      <c r="G183" s="450" t="s">
        <v>48</v>
      </c>
      <c r="H183" s="450" t="s">
        <v>49</v>
      </c>
      <c r="I183" s="449" t="s">
        <v>50</v>
      </c>
      <c r="J183" s="451"/>
      <c r="K183" s="451"/>
      <c r="L183" s="20"/>
      <c r="M183" s="20"/>
      <c r="N183" s="20"/>
      <c r="O183" s="20"/>
      <c r="P183" s="20"/>
      <c r="Q183" s="21"/>
      <c r="R183" s="21"/>
      <c r="S183" s="21"/>
      <c r="T183" s="21"/>
    </row>
    <row r="184" spans="1:20" ht="12" customHeight="1" x14ac:dyDescent="0.25">
      <c r="A184" s="449"/>
      <c r="B184" s="450"/>
      <c r="C184" s="137" t="s">
        <v>30</v>
      </c>
      <c r="D184" s="15">
        <f>'[3]табл.8 11.10.21'!H187</f>
        <v>54094530.020000003</v>
      </c>
      <c r="E184" s="15"/>
      <c r="F184" s="15">
        <f t="shared" si="24"/>
        <v>0</v>
      </c>
      <c r="G184" s="450"/>
      <c r="H184" s="450"/>
      <c r="I184" s="449"/>
      <c r="J184" s="451"/>
      <c r="K184" s="451"/>
    </row>
    <row r="185" spans="1:20" ht="12" customHeight="1" x14ac:dyDescent="0.25">
      <c r="A185" s="449"/>
      <c r="B185" s="450"/>
      <c r="C185" s="137" t="s">
        <v>32</v>
      </c>
      <c r="D185" s="15">
        <f>'[3]табл.8 11.10.21'!F187</f>
        <v>2332592.79</v>
      </c>
      <c r="E185" s="15"/>
      <c r="F185" s="15">
        <f t="shared" si="24"/>
        <v>0</v>
      </c>
      <c r="G185" s="450"/>
      <c r="H185" s="450"/>
      <c r="I185" s="449"/>
      <c r="J185" s="451"/>
      <c r="K185" s="451"/>
    </row>
    <row r="186" spans="1:20" ht="12" customHeight="1" x14ac:dyDescent="0.25">
      <c r="A186" s="449"/>
      <c r="B186" s="450"/>
      <c r="C186" s="137" t="s">
        <v>34</v>
      </c>
      <c r="D186" s="15">
        <f>'[3]табл.8 11.10.21'!G187</f>
        <v>0</v>
      </c>
      <c r="E186" s="15">
        <v>0</v>
      </c>
      <c r="F186" s="15">
        <v>0</v>
      </c>
      <c r="G186" s="450"/>
      <c r="H186" s="450"/>
      <c r="I186" s="449"/>
      <c r="J186" s="451"/>
      <c r="K186" s="451"/>
    </row>
    <row r="187" spans="1:20" ht="12" customHeight="1" x14ac:dyDescent="0.25">
      <c r="A187" s="449"/>
      <c r="B187" s="450"/>
      <c r="C187" s="137" t="s">
        <v>36</v>
      </c>
      <c r="D187" s="15">
        <f>'[3]табл.8 11.10.21'!I187</f>
        <v>0</v>
      </c>
      <c r="E187" s="15">
        <v>0</v>
      </c>
      <c r="F187" s="15">
        <v>0</v>
      </c>
      <c r="G187" s="450"/>
      <c r="H187" s="450"/>
      <c r="I187" s="449"/>
      <c r="J187" s="451"/>
      <c r="K187" s="451"/>
    </row>
    <row r="188" spans="1:20" s="22" customFormat="1" ht="12" customHeight="1" x14ac:dyDescent="0.25">
      <c r="A188" s="449" t="s">
        <v>102</v>
      </c>
      <c r="B188" s="450" t="s">
        <v>103</v>
      </c>
      <c r="C188" s="17" t="s">
        <v>28</v>
      </c>
      <c r="D188" s="18">
        <f>D189+D190+D191+D192</f>
        <v>2676047.5599999996</v>
      </c>
      <c r="E188" s="18">
        <f>E189+E190+E191+E192</f>
        <v>0</v>
      </c>
      <c r="F188" s="18">
        <f t="shared" si="24"/>
        <v>0</v>
      </c>
      <c r="G188" s="457"/>
      <c r="H188" s="19" t="s">
        <v>39</v>
      </c>
      <c r="I188" s="17"/>
      <c r="J188" s="451"/>
      <c r="K188" s="451"/>
      <c r="L188" s="20"/>
      <c r="M188" s="20"/>
      <c r="N188" s="20"/>
      <c r="O188" s="20"/>
      <c r="P188" s="20"/>
      <c r="Q188" s="21"/>
      <c r="R188" s="21"/>
      <c r="S188" s="21"/>
      <c r="T188" s="21"/>
    </row>
    <row r="189" spans="1:20" ht="12" customHeight="1" x14ac:dyDescent="0.25">
      <c r="A189" s="449"/>
      <c r="B189" s="450"/>
      <c r="C189" s="137" t="s">
        <v>30</v>
      </c>
      <c r="D189" s="15">
        <f>'[3]табл.8 11.10.21'!H193</f>
        <v>1145333.8999999999</v>
      </c>
      <c r="E189" s="15"/>
      <c r="F189" s="15">
        <f t="shared" si="24"/>
        <v>0</v>
      </c>
      <c r="G189" s="457"/>
      <c r="H189" s="156" t="s">
        <v>31</v>
      </c>
      <c r="I189" s="137"/>
      <c r="J189" s="451"/>
      <c r="K189" s="451"/>
    </row>
    <row r="190" spans="1:20" ht="12" customHeight="1" x14ac:dyDescent="0.25">
      <c r="A190" s="449"/>
      <c r="B190" s="450"/>
      <c r="C190" s="137" t="s">
        <v>32</v>
      </c>
      <c r="D190" s="15">
        <f>'[3]табл.8 11.10.21'!F193</f>
        <v>1530713.66</v>
      </c>
      <c r="E190" s="15"/>
      <c r="F190" s="15">
        <v>0</v>
      </c>
      <c r="G190" s="457"/>
      <c r="H190" s="156" t="s">
        <v>33</v>
      </c>
      <c r="I190" s="137"/>
      <c r="J190" s="451"/>
      <c r="K190" s="451"/>
    </row>
    <row r="191" spans="1:20" ht="12" customHeight="1" x14ac:dyDescent="0.25">
      <c r="A191" s="449"/>
      <c r="B191" s="450"/>
      <c r="C191" s="137" t="s">
        <v>34</v>
      </c>
      <c r="D191" s="15">
        <f>'[3]табл.8 11.10.21'!G193</f>
        <v>0</v>
      </c>
      <c r="E191" s="15">
        <v>0</v>
      </c>
      <c r="F191" s="15">
        <v>0</v>
      </c>
      <c r="G191" s="457"/>
      <c r="H191" s="156" t="s">
        <v>35</v>
      </c>
      <c r="I191" s="137"/>
      <c r="J191" s="451"/>
      <c r="K191" s="451"/>
    </row>
    <row r="192" spans="1:20" ht="12" customHeight="1" x14ac:dyDescent="0.25">
      <c r="A192" s="449"/>
      <c r="B192" s="450"/>
      <c r="C192" s="137" t="s">
        <v>36</v>
      </c>
      <c r="D192" s="15">
        <f>'[3]табл.8 11.10.21'!I193</f>
        <v>0</v>
      </c>
      <c r="E192" s="15">
        <v>0</v>
      </c>
      <c r="F192" s="15">
        <v>0</v>
      </c>
      <c r="G192" s="457"/>
      <c r="H192" s="156" t="s">
        <v>37</v>
      </c>
      <c r="I192" s="137"/>
      <c r="J192" s="451"/>
      <c r="K192" s="451"/>
    </row>
    <row r="193" spans="1:20" s="22" customFormat="1" ht="12" customHeight="1" x14ac:dyDescent="0.25">
      <c r="A193" s="449" t="s">
        <v>104</v>
      </c>
      <c r="B193" s="450" t="s">
        <v>105</v>
      </c>
      <c r="C193" s="17" t="s">
        <v>28</v>
      </c>
      <c r="D193" s="18">
        <f>D194+D195+D196+D197</f>
        <v>0</v>
      </c>
      <c r="E193" s="18">
        <v>0</v>
      </c>
      <c r="F193" s="18">
        <v>0</v>
      </c>
      <c r="G193" s="450" t="s">
        <v>48</v>
      </c>
      <c r="H193" s="450" t="s">
        <v>49</v>
      </c>
      <c r="I193" s="449" t="s">
        <v>50</v>
      </c>
      <c r="J193" s="451"/>
      <c r="K193" s="451"/>
      <c r="L193" s="20"/>
      <c r="M193" s="20"/>
      <c r="N193" s="20"/>
      <c r="O193" s="20"/>
      <c r="P193" s="20"/>
      <c r="Q193" s="21"/>
      <c r="R193" s="21"/>
      <c r="S193" s="21"/>
      <c r="T193" s="21"/>
    </row>
    <row r="194" spans="1:20" ht="12" customHeight="1" x14ac:dyDescent="0.25">
      <c r="A194" s="449"/>
      <c r="B194" s="450"/>
      <c r="C194" s="137" t="s">
        <v>30</v>
      </c>
      <c r="D194" s="15">
        <f>'[3]табл.8 11.10.21'!H199</f>
        <v>0</v>
      </c>
      <c r="E194" s="15">
        <v>0</v>
      </c>
      <c r="F194" s="15">
        <v>0</v>
      </c>
      <c r="G194" s="450"/>
      <c r="H194" s="450"/>
      <c r="I194" s="449"/>
      <c r="J194" s="451"/>
      <c r="K194" s="451"/>
    </row>
    <row r="195" spans="1:20" ht="12" customHeight="1" x14ac:dyDescent="0.25">
      <c r="A195" s="449"/>
      <c r="B195" s="450"/>
      <c r="C195" s="137" t="s">
        <v>32</v>
      </c>
      <c r="D195" s="15">
        <f>'[3]табл.8 11.10.21'!F199</f>
        <v>0</v>
      </c>
      <c r="E195" s="15">
        <v>0</v>
      </c>
      <c r="F195" s="15">
        <v>0</v>
      </c>
      <c r="G195" s="450"/>
      <c r="H195" s="450"/>
      <c r="I195" s="449"/>
      <c r="J195" s="451"/>
      <c r="K195" s="451"/>
    </row>
    <row r="196" spans="1:20" ht="12" customHeight="1" x14ac:dyDescent="0.25">
      <c r="A196" s="449"/>
      <c r="B196" s="450"/>
      <c r="C196" s="137" t="s">
        <v>34</v>
      </c>
      <c r="D196" s="15">
        <f>'[3]табл.8 11.10.21'!G199</f>
        <v>0</v>
      </c>
      <c r="E196" s="15">
        <v>0</v>
      </c>
      <c r="F196" s="15">
        <v>0</v>
      </c>
      <c r="G196" s="450"/>
      <c r="H196" s="450"/>
      <c r="I196" s="449"/>
      <c r="J196" s="451"/>
      <c r="K196" s="451"/>
    </row>
    <row r="197" spans="1:20" ht="12" customHeight="1" x14ac:dyDescent="0.25">
      <c r="A197" s="449"/>
      <c r="B197" s="450"/>
      <c r="C197" s="137" t="s">
        <v>36</v>
      </c>
      <c r="D197" s="15">
        <f>'[3]табл.8 11.10.21'!I199</f>
        <v>0</v>
      </c>
      <c r="E197" s="15">
        <v>0</v>
      </c>
      <c r="F197" s="15">
        <v>0</v>
      </c>
      <c r="G197" s="450"/>
      <c r="H197" s="450"/>
      <c r="I197" s="449"/>
      <c r="J197" s="451"/>
      <c r="K197" s="451"/>
    </row>
    <row r="198" spans="1:20" s="22" customFormat="1" ht="12" customHeight="1" x14ac:dyDescent="0.25">
      <c r="A198" s="449" t="s">
        <v>106</v>
      </c>
      <c r="B198" s="450" t="s">
        <v>107</v>
      </c>
      <c r="C198" s="17" t="s">
        <v>28</v>
      </c>
      <c r="D198" s="18">
        <f>D199+D200+D201+D202</f>
        <v>0</v>
      </c>
      <c r="E198" s="18">
        <v>0</v>
      </c>
      <c r="F198" s="18">
        <v>0</v>
      </c>
      <c r="G198" s="457"/>
      <c r="H198" s="19" t="s">
        <v>39</v>
      </c>
      <c r="I198" s="17"/>
      <c r="J198" s="451"/>
      <c r="K198" s="451"/>
      <c r="L198" s="20"/>
      <c r="M198" s="20"/>
      <c r="N198" s="20"/>
      <c r="O198" s="20"/>
      <c r="P198" s="20"/>
      <c r="Q198" s="21"/>
      <c r="R198" s="21"/>
      <c r="S198" s="21"/>
      <c r="T198" s="21"/>
    </row>
    <row r="199" spans="1:20" ht="12" customHeight="1" x14ac:dyDescent="0.25">
      <c r="A199" s="449"/>
      <c r="B199" s="450"/>
      <c r="C199" s="137" t="s">
        <v>30</v>
      </c>
      <c r="D199" s="15">
        <f>'[3]табл.8 11.10.21'!H205</f>
        <v>0</v>
      </c>
      <c r="E199" s="15">
        <v>0</v>
      </c>
      <c r="F199" s="15">
        <v>0</v>
      </c>
      <c r="G199" s="457"/>
      <c r="H199" s="156" t="s">
        <v>31</v>
      </c>
      <c r="I199" s="137"/>
      <c r="J199" s="451"/>
      <c r="K199" s="451"/>
    </row>
    <row r="200" spans="1:20" ht="12" customHeight="1" x14ac:dyDescent="0.25">
      <c r="A200" s="449"/>
      <c r="B200" s="450"/>
      <c r="C200" s="137" t="s">
        <v>32</v>
      </c>
      <c r="D200" s="15">
        <f>'[3]табл.8 11.10.21'!F205</f>
        <v>0</v>
      </c>
      <c r="E200" s="15">
        <v>0</v>
      </c>
      <c r="F200" s="15">
        <v>0</v>
      </c>
      <c r="G200" s="457"/>
      <c r="H200" s="156" t="s">
        <v>33</v>
      </c>
      <c r="I200" s="137"/>
      <c r="J200" s="451"/>
      <c r="K200" s="451"/>
    </row>
    <row r="201" spans="1:20" ht="12" customHeight="1" x14ac:dyDescent="0.25">
      <c r="A201" s="449"/>
      <c r="B201" s="450"/>
      <c r="C201" s="137" t="s">
        <v>34</v>
      </c>
      <c r="D201" s="15">
        <f>'[3]табл.8 11.10.21'!G205</f>
        <v>0</v>
      </c>
      <c r="E201" s="15">
        <v>0</v>
      </c>
      <c r="F201" s="15">
        <v>0</v>
      </c>
      <c r="G201" s="457"/>
      <c r="H201" s="156" t="s">
        <v>35</v>
      </c>
      <c r="I201" s="137"/>
      <c r="J201" s="451"/>
      <c r="K201" s="451"/>
    </row>
    <row r="202" spans="1:20" ht="12" customHeight="1" x14ac:dyDescent="0.25">
      <c r="A202" s="449"/>
      <c r="B202" s="450"/>
      <c r="C202" s="137" t="s">
        <v>36</v>
      </c>
      <c r="D202" s="15">
        <f>'[3]табл.8 11.10.21'!I204</f>
        <v>0</v>
      </c>
      <c r="E202" s="15">
        <v>0</v>
      </c>
      <c r="F202" s="15">
        <v>0</v>
      </c>
      <c r="G202" s="457"/>
      <c r="H202" s="156" t="s">
        <v>37</v>
      </c>
      <c r="I202" s="137"/>
      <c r="J202" s="451"/>
      <c r="K202" s="451"/>
    </row>
    <row r="203" spans="1:20" s="70" customFormat="1" ht="12" customHeight="1" x14ac:dyDescent="0.25">
      <c r="A203" s="476" t="s">
        <v>108</v>
      </c>
      <c r="B203" s="477" t="s">
        <v>109</v>
      </c>
      <c r="C203" s="65" t="s">
        <v>28</v>
      </c>
      <c r="D203" s="66">
        <f>D204+D205+D206+D207</f>
        <v>5000000</v>
      </c>
      <c r="E203" s="66">
        <f>E204+E205+E206+E207</f>
        <v>0</v>
      </c>
      <c r="F203" s="66">
        <f>E203/D203</f>
        <v>0</v>
      </c>
      <c r="G203" s="478"/>
      <c r="H203" s="67" t="s">
        <v>39</v>
      </c>
      <c r="I203" s="65"/>
      <c r="J203" s="479"/>
      <c r="K203" s="479"/>
      <c r="L203" s="68"/>
      <c r="M203" s="68"/>
      <c r="N203" s="68"/>
      <c r="O203" s="68"/>
      <c r="P203" s="68"/>
      <c r="Q203" s="69"/>
      <c r="R203" s="69"/>
      <c r="S203" s="69"/>
      <c r="T203" s="69"/>
    </row>
    <row r="204" spans="1:20" s="76" customFormat="1" ht="12" customHeight="1" x14ac:dyDescent="0.25">
      <c r="A204" s="476"/>
      <c r="B204" s="477"/>
      <c r="C204" s="145" t="s">
        <v>30</v>
      </c>
      <c r="D204" s="72">
        <f>D209+D214+D219+D224</f>
        <v>5000000</v>
      </c>
      <c r="E204" s="72">
        <f>E209+E214+E219+E224</f>
        <v>0</v>
      </c>
      <c r="F204" s="72">
        <f t="shared" ref="F204:F224" si="26">E204/D204</f>
        <v>0</v>
      </c>
      <c r="G204" s="478"/>
      <c r="H204" s="73" t="s">
        <v>31</v>
      </c>
      <c r="I204" s="145"/>
      <c r="J204" s="479"/>
      <c r="K204" s="479"/>
      <c r="L204" s="74"/>
      <c r="M204" s="74"/>
      <c r="N204" s="74"/>
      <c r="O204" s="74"/>
      <c r="P204" s="74"/>
      <c r="Q204" s="75"/>
      <c r="R204" s="75"/>
      <c r="S204" s="75"/>
      <c r="T204" s="75"/>
    </row>
    <row r="205" spans="1:20" s="76" customFormat="1" ht="12" customHeight="1" x14ac:dyDescent="0.25">
      <c r="A205" s="476"/>
      <c r="B205" s="477"/>
      <c r="C205" s="145" t="s">
        <v>32</v>
      </c>
      <c r="D205" s="72">
        <f t="shared" ref="D205:E207" si="27">D210+D215+D220+D225</f>
        <v>0</v>
      </c>
      <c r="E205" s="72">
        <f t="shared" si="27"/>
        <v>0</v>
      </c>
      <c r="F205" s="72">
        <v>0</v>
      </c>
      <c r="G205" s="478"/>
      <c r="H205" s="73" t="s">
        <v>33</v>
      </c>
      <c r="I205" s="145"/>
      <c r="J205" s="479"/>
      <c r="K205" s="479"/>
      <c r="L205" s="74"/>
      <c r="M205" s="74"/>
      <c r="N205" s="74"/>
      <c r="O205" s="74"/>
      <c r="P205" s="74"/>
      <c r="Q205" s="75"/>
      <c r="R205" s="75"/>
      <c r="S205" s="75"/>
      <c r="T205" s="75"/>
    </row>
    <row r="206" spans="1:20" s="76" customFormat="1" ht="12" customHeight="1" x14ac:dyDescent="0.25">
      <c r="A206" s="476"/>
      <c r="B206" s="477"/>
      <c r="C206" s="145" t="s">
        <v>34</v>
      </c>
      <c r="D206" s="72">
        <f t="shared" si="27"/>
        <v>0</v>
      </c>
      <c r="E206" s="72">
        <f t="shared" si="27"/>
        <v>0</v>
      </c>
      <c r="F206" s="72">
        <v>0</v>
      </c>
      <c r="G206" s="478"/>
      <c r="H206" s="73" t="s">
        <v>35</v>
      </c>
      <c r="I206" s="145"/>
      <c r="J206" s="479"/>
      <c r="K206" s="479"/>
      <c r="L206" s="74"/>
      <c r="M206" s="74"/>
      <c r="N206" s="74"/>
      <c r="O206" s="74"/>
      <c r="P206" s="74"/>
      <c r="Q206" s="75"/>
      <c r="R206" s="75"/>
      <c r="S206" s="75"/>
      <c r="T206" s="75"/>
    </row>
    <row r="207" spans="1:20" s="76" customFormat="1" ht="12" customHeight="1" x14ac:dyDescent="0.25">
      <c r="A207" s="476"/>
      <c r="B207" s="477"/>
      <c r="C207" s="145" t="s">
        <v>36</v>
      </c>
      <c r="D207" s="72">
        <f t="shared" si="27"/>
        <v>0</v>
      </c>
      <c r="E207" s="72">
        <f t="shared" si="27"/>
        <v>0</v>
      </c>
      <c r="F207" s="72">
        <v>0</v>
      </c>
      <c r="G207" s="478"/>
      <c r="H207" s="73" t="s">
        <v>37</v>
      </c>
      <c r="I207" s="145"/>
      <c r="J207" s="479"/>
      <c r="K207" s="479"/>
      <c r="L207" s="74"/>
      <c r="M207" s="74"/>
      <c r="N207" s="74"/>
      <c r="O207" s="74"/>
      <c r="P207" s="74"/>
      <c r="Q207" s="75"/>
      <c r="R207" s="75"/>
      <c r="S207" s="75"/>
      <c r="T207" s="75"/>
    </row>
    <row r="208" spans="1:20" s="70" customFormat="1" ht="12" customHeight="1" x14ac:dyDescent="0.25">
      <c r="A208" s="440" t="s">
        <v>110</v>
      </c>
      <c r="B208" s="441" t="s">
        <v>111</v>
      </c>
      <c r="C208" s="77" t="s">
        <v>28</v>
      </c>
      <c r="D208" s="78">
        <f>D209+D210+D211+D212</f>
        <v>0</v>
      </c>
      <c r="E208" s="78">
        <f>E209+E210+E211+E212</f>
        <v>0</v>
      </c>
      <c r="F208" s="78">
        <v>0</v>
      </c>
      <c r="G208" s="441" t="s">
        <v>48</v>
      </c>
      <c r="H208" s="441" t="s">
        <v>49</v>
      </c>
      <c r="I208" s="440" t="s">
        <v>50</v>
      </c>
      <c r="J208" s="434"/>
      <c r="K208" s="434"/>
      <c r="L208" s="68"/>
      <c r="M208" s="68"/>
      <c r="N208" s="68"/>
      <c r="O208" s="68"/>
      <c r="P208" s="68"/>
      <c r="Q208" s="69"/>
      <c r="R208" s="69"/>
      <c r="S208" s="69"/>
      <c r="T208" s="69"/>
    </row>
    <row r="209" spans="1:20" s="76" customFormat="1" ht="12" customHeight="1" x14ac:dyDescent="0.25">
      <c r="A209" s="440"/>
      <c r="B209" s="441"/>
      <c r="C209" s="133" t="s">
        <v>30</v>
      </c>
      <c r="D209" s="80">
        <f>'[3]табл.8 11.10.21'!H217</f>
        <v>0</v>
      </c>
      <c r="E209" s="80">
        <v>0</v>
      </c>
      <c r="F209" s="80">
        <v>0</v>
      </c>
      <c r="G209" s="441"/>
      <c r="H209" s="441"/>
      <c r="I209" s="440"/>
      <c r="J209" s="434"/>
      <c r="K209" s="434"/>
      <c r="L209" s="74"/>
      <c r="M209" s="74"/>
      <c r="N209" s="74"/>
      <c r="O209" s="74"/>
      <c r="P209" s="74"/>
      <c r="Q209" s="75"/>
      <c r="R209" s="75"/>
      <c r="S209" s="75"/>
      <c r="T209" s="75"/>
    </row>
    <row r="210" spans="1:20" s="76" customFormat="1" ht="12" customHeight="1" x14ac:dyDescent="0.25">
      <c r="A210" s="440"/>
      <c r="B210" s="441"/>
      <c r="C210" s="133" t="s">
        <v>32</v>
      </c>
      <c r="D210" s="80">
        <f>'[3]табл.8 11.10.21'!F217</f>
        <v>0</v>
      </c>
      <c r="E210" s="80">
        <v>0</v>
      </c>
      <c r="F210" s="80">
        <v>0</v>
      </c>
      <c r="G210" s="441"/>
      <c r="H210" s="441"/>
      <c r="I210" s="440"/>
      <c r="J210" s="434"/>
      <c r="K210" s="434"/>
      <c r="L210" s="74"/>
      <c r="M210" s="74"/>
      <c r="N210" s="74"/>
      <c r="O210" s="74"/>
      <c r="P210" s="74"/>
      <c r="Q210" s="75"/>
      <c r="R210" s="75"/>
      <c r="S210" s="75"/>
      <c r="T210" s="75"/>
    </row>
    <row r="211" spans="1:20" s="76" customFormat="1" ht="12" customHeight="1" x14ac:dyDescent="0.25">
      <c r="A211" s="440"/>
      <c r="B211" s="441"/>
      <c r="C211" s="133" t="s">
        <v>34</v>
      </c>
      <c r="D211" s="80">
        <f>'[3]табл.8 11.10.21'!G217</f>
        <v>0</v>
      </c>
      <c r="E211" s="80">
        <v>0</v>
      </c>
      <c r="F211" s="80">
        <v>0</v>
      </c>
      <c r="G211" s="441"/>
      <c r="H211" s="441"/>
      <c r="I211" s="440"/>
      <c r="J211" s="434"/>
      <c r="K211" s="434"/>
      <c r="L211" s="74"/>
      <c r="M211" s="74"/>
      <c r="N211" s="74"/>
      <c r="O211" s="74"/>
      <c r="P211" s="74"/>
      <c r="Q211" s="75"/>
      <c r="R211" s="75"/>
      <c r="S211" s="75"/>
      <c r="T211" s="75"/>
    </row>
    <row r="212" spans="1:20" s="76" customFormat="1" ht="12" customHeight="1" x14ac:dyDescent="0.25">
      <c r="A212" s="440"/>
      <c r="B212" s="441"/>
      <c r="C212" s="133" t="s">
        <v>36</v>
      </c>
      <c r="D212" s="80">
        <f>'[3]табл.8 11.10.21'!I217</f>
        <v>0</v>
      </c>
      <c r="E212" s="80">
        <v>0</v>
      </c>
      <c r="F212" s="80">
        <v>0</v>
      </c>
      <c r="G212" s="441"/>
      <c r="H212" s="441"/>
      <c r="I212" s="440"/>
      <c r="J212" s="434"/>
      <c r="K212" s="434"/>
      <c r="L212" s="74"/>
      <c r="M212" s="74"/>
      <c r="N212" s="74"/>
      <c r="O212" s="74"/>
      <c r="P212" s="74"/>
      <c r="Q212" s="75"/>
      <c r="R212" s="75"/>
      <c r="S212" s="75"/>
      <c r="T212" s="75"/>
    </row>
    <row r="213" spans="1:20" s="70" customFormat="1" ht="12.75" customHeight="1" x14ac:dyDescent="0.25">
      <c r="A213" s="440" t="s">
        <v>112</v>
      </c>
      <c r="B213" s="441" t="s">
        <v>113</v>
      </c>
      <c r="C213" s="77" t="s">
        <v>28</v>
      </c>
      <c r="D213" s="78">
        <f>D214+D215+D216+D217</f>
        <v>0</v>
      </c>
      <c r="E213" s="78">
        <f>E214+E215+E216+E217</f>
        <v>0</v>
      </c>
      <c r="F213" s="78">
        <v>0</v>
      </c>
      <c r="G213" s="441" t="s">
        <v>48</v>
      </c>
      <c r="H213" s="441" t="s">
        <v>49</v>
      </c>
      <c r="I213" s="440" t="s">
        <v>50</v>
      </c>
      <c r="J213" s="434"/>
      <c r="K213" s="434"/>
      <c r="L213" s="68"/>
      <c r="M213" s="68"/>
      <c r="N213" s="68"/>
      <c r="O213" s="68"/>
      <c r="P213" s="68"/>
      <c r="Q213" s="69"/>
      <c r="R213" s="69"/>
      <c r="S213" s="69"/>
      <c r="T213" s="69"/>
    </row>
    <row r="214" spans="1:20" s="76" customFormat="1" ht="12" customHeight="1" x14ac:dyDescent="0.25">
      <c r="A214" s="440"/>
      <c r="B214" s="441"/>
      <c r="C214" s="133" t="s">
        <v>30</v>
      </c>
      <c r="D214" s="80">
        <f>'[3]табл.8 11.10.21'!H223</f>
        <v>0</v>
      </c>
      <c r="E214" s="80">
        <v>0</v>
      </c>
      <c r="F214" s="80">
        <v>0</v>
      </c>
      <c r="G214" s="441"/>
      <c r="H214" s="441"/>
      <c r="I214" s="440"/>
      <c r="J214" s="434"/>
      <c r="K214" s="434"/>
      <c r="L214" s="74"/>
      <c r="M214" s="74"/>
      <c r="N214" s="74"/>
      <c r="O214" s="74"/>
      <c r="P214" s="74"/>
      <c r="Q214" s="75"/>
      <c r="R214" s="75"/>
      <c r="S214" s="75"/>
      <c r="T214" s="75"/>
    </row>
    <row r="215" spans="1:20" s="76" customFormat="1" ht="12" customHeight="1" x14ac:dyDescent="0.25">
      <c r="A215" s="440"/>
      <c r="B215" s="441"/>
      <c r="C215" s="133" t="s">
        <v>32</v>
      </c>
      <c r="D215" s="80">
        <f>'[3]табл.8 11.10.21'!F223</f>
        <v>0</v>
      </c>
      <c r="E215" s="80">
        <v>0</v>
      </c>
      <c r="F215" s="80">
        <v>0</v>
      </c>
      <c r="G215" s="441"/>
      <c r="H215" s="441"/>
      <c r="I215" s="440"/>
      <c r="J215" s="434"/>
      <c r="K215" s="434"/>
      <c r="L215" s="74"/>
      <c r="M215" s="74"/>
      <c r="N215" s="74"/>
      <c r="O215" s="74"/>
      <c r="P215" s="74"/>
      <c r="Q215" s="75"/>
      <c r="R215" s="75"/>
      <c r="S215" s="75"/>
      <c r="T215" s="75"/>
    </row>
    <row r="216" spans="1:20" s="76" customFormat="1" ht="12" customHeight="1" x14ac:dyDescent="0.25">
      <c r="A216" s="440"/>
      <c r="B216" s="441"/>
      <c r="C216" s="133" t="s">
        <v>34</v>
      </c>
      <c r="D216" s="80">
        <f>'[3]табл.8 11.10.21'!G223</f>
        <v>0</v>
      </c>
      <c r="E216" s="80">
        <v>0</v>
      </c>
      <c r="F216" s="80">
        <v>0</v>
      </c>
      <c r="G216" s="441"/>
      <c r="H216" s="441"/>
      <c r="I216" s="440"/>
      <c r="J216" s="434"/>
      <c r="K216" s="434"/>
      <c r="L216" s="74"/>
      <c r="M216" s="74"/>
      <c r="N216" s="74"/>
      <c r="O216" s="74"/>
      <c r="P216" s="74"/>
      <c r="Q216" s="75"/>
      <c r="R216" s="75"/>
      <c r="S216" s="75"/>
      <c r="T216" s="75"/>
    </row>
    <row r="217" spans="1:20" s="76" customFormat="1" ht="12" customHeight="1" x14ac:dyDescent="0.25">
      <c r="A217" s="440"/>
      <c r="B217" s="441"/>
      <c r="C217" s="133" t="s">
        <v>36</v>
      </c>
      <c r="D217" s="80">
        <f>'[3]табл.8 11.10.21'!I223</f>
        <v>0</v>
      </c>
      <c r="E217" s="80">
        <v>0</v>
      </c>
      <c r="F217" s="80">
        <v>0</v>
      </c>
      <c r="G217" s="441"/>
      <c r="H217" s="441"/>
      <c r="I217" s="440"/>
      <c r="J217" s="434"/>
      <c r="K217" s="434"/>
      <c r="L217" s="74"/>
      <c r="M217" s="74"/>
      <c r="N217" s="74"/>
      <c r="O217" s="74"/>
      <c r="P217" s="74"/>
      <c r="Q217" s="75"/>
      <c r="R217" s="75"/>
      <c r="S217" s="75"/>
      <c r="T217" s="75"/>
    </row>
    <row r="218" spans="1:20" s="70" customFormat="1" ht="12" customHeight="1" x14ac:dyDescent="0.25">
      <c r="A218" s="440" t="s">
        <v>114</v>
      </c>
      <c r="B218" s="441" t="s">
        <v>115</v>
      </c>
      <c r="C218" s="77" t="s">
        <v>28</v>
      </c>
      <c r="D218" s="78">
        <f>D219+D220+D221+D222</f>
        <v>0</v>
      </c>
      <c r="E218" s="78">
        <f>E219+E220+E221+E222</f>
        <v>0</v>
      </c>
      <c r="F218" s="78">
        <v>0</v>
      </c>
      <c r="G218" s="442"/>
      <c r="H218" s="81" t="s">
        <v>39</v>
      </c>
      <c r="I218" s="77"/>
      <c r="J218" s="434"/>
      <c r="K218" s="434"/>
      <c r="L218" s="68"/>
      <c r="M218" s="68"/>
      <c r="N218" s="68"/>
      <c r="O218" s="68"/>
      <c r="P218" s="68"/>
      <c r="Q218" s="69"/>
      <c r="R218" s="69"/>
      <c r="S218" s="69"/>
      <c r="T218" s="69"/>
    </row>
    <row r="219" spans="1:20" s="76" customFormat="1" ht="12" customHeight="1" x14ac:dyDescent="0.25">
      <c r="A219" s="440"/>
      <c r="B219" s="441"/>
      <c r="C219" s="133" t="s">
        <v>30</v>
      </c>
      <c r="D219" s="80">
        <f>'[3]табл.8 11.10.21'!H229</f>
        <v>0</v>
      </c>
      <c r="E219" s="80">
        <v>0</v>
      </c>
      <c r="F219" s="80">
        <v>0</v>
      </c>
      <c r="G219" s="442"/>
      <c r="H219" s="82" t="s">
        <v>31</v>
      </c>
      <c r="I219" s="133"/>
      <c r="J219" s="434"/>
      <c r="K219" s="434"/>
      <c r="L219" s="74"/>
      <c r="M219" s="74"/>
      <c r="N219" s="74"/>
      <c r="O219" s="74"/>
      <c r="P219" s="74"/>
      <c r="Q219" s="75"/>
      <c r="R219" s="75"/>
      <c r="S219" s="75"/>
      <c r="T219" s="75"/>
    </row>
    <row r="220" spans="1:20" s="76" customFormat="1" ht="12" customHeight="1" x14ac:dyDescent="0.25">
      <c r="A220" s="440"/>
      <c r="B220" s="441"/>
      <c r="C220" s="133" t="s">
        <v>32</v>
      </c>
      <c r="D220" s="80">
        <f>'[3]табл.8 11.10.21'!F229</f>
        <v>0</v>
      </c>
      <c r="E220" s="80">
        <v>0</v>
      </c>
      <c r="F220" s="80">
        <v>0</v>
      </c>
      <c r="G220" s="442"/>
      <c r="H220" s="82" t="s">
        <v>33</v>
      </c>
      <c r="I220" s="133"/>
      <c r="J220" s="434"/>
      <c r="K220" s="434"/>
      <c r="L220" s="74"/>
      <c r="M220" s="74"/>
      <c r="N220" s="74"/>
      <c r="O220" s="74"/>
      <c r="P220" s="74"/>
      <c r="Q220" s="75"/>
      <c r="R220" s="75"/>
      <c r="S220" s="75"/>
      <c r="T220" s="75"/>
    </row>
    <row r="221" spans="1:20" s="76" customFormat="1" ht="12" customHeight="1" x14ac:dyDescent="0.25">
      <c r="A221" s="440"/>
      <c r="B221" s="441"/>
      <c r="C221" s="133" t="s">
        <v>34</v>
      </c>
      <c r="D221" s="80">
        <f>'[3]табл.8 11.10.21'!G229</f>
        <v>0</v>
      </c>
      <c r="E221" s="80">
        <v>0</v>
      </c>
      <c r="F221" s="80">
        <v>0</v>
      </c>
      <c r="G221" s="442"/>
      <c r="H221" s="82" t="s">
        <v>35</v>
      </c>
      <c r="I221" s="133"/>
      <c r="J221" s="434"/>
      <c r="K221" s="434"/>
      <c r="L221" s="74"/>
      <c r="M221" s="74"/>
      <c r="N221" s="74"/>
      <c r="O221" s="74"/>
      <c r="P221" s="74"/>
      <c r="Q221" s="75"/>
      <c r="R221" s="75"/>
      <c r="S221" s="75"/>
      <c r="T221" s="75"/>
    </row>
    <row r="222" spans="1:20" s="76" customFormat="1" ht="12" customHeight="1" x14ac:dyDescent="0.25">
      <c r="A222" s="440"/>
      <c r="B222" s="441"/>
      <c r="C222" s="133" t="s">
        <v>36</v>
      </c>
      <c r="D222" s="80">
        <f>'[3]табл.8 11.10.21'!I229</f>
        <v>0</v>
      </c>
      <c r="E222" s="80">
        <v>0</v>
      </c>
      <c r="F222" s="80">
        <v>0</v>
      </c>
      <c r="G222" s="442"/>
      <c r="H222" s="82" t="s">
        <v>37</v>
      </c>
      <c r="I222" s="133"/>
      <c r="J222" s="434"/>
      <c r="K222" s="434"/>
      <c r="L222" s="74"/>
      <c r="M222" s="74"/>
      <c r="N222" s="74"/>
      <c r="O222" s="74"/>
      <c r="P222" s="74"/>
      <c r="Q222" s="75"/>
      <c r="R222" s="75"/>
      <c r="S222" s="75"/>
      <c r="T222" s="75"/>
    </row>
    <row r="223" spans="1:20" s="70" customFormat="1" ht="12" customHeight="1" x14ac:dyDescent="0.25">
      <c r="A223" s="440" t="s">
        <v>116</v>
      </c>
      <c r="B223" s="441" t="s">
        <v>117</v>
      </c>
      <c r="C223" s="77" t="s">
        <v>28</v>
      </c>
      <c r="D223" s="78">
        <f>D224+D225+D226+D227</f>
        <v>5000000</v>
      </c>
      <c r="E223" s="78">
        <f>E224+E225+E226+E227</f>
        <v>0</v>
      </c>
      <c r="F223" s="78">
        <f t="shared" si="26"/>
        <v>0</v>
      </c>
      <c r="G223" s="441" t="s">
        <v>48</v>
      </c>
      <c r="H223" s="441" t="s">
        <v>49</v>
      </c>
      <c r="I223" s="440" t="s">
        <v>50</v>
      </c>
      <c r="J223" s="434"/>
      <c r="K223" s="434"/>
      <c r="L223" s="68"/>
      <c r="M223" s="68"/>
      <c r="N223" s="68"/>
      <c r="O223" s="68"/>
      <c r="P223" s="68"/>
      <c r="Q223" s="69"/>
      <c r="R223" s="69"/>
      <c r="S223" s="69"/>
      <c r="T223" s="69"/>
    </row>
    <row r="224" spans="1:20" s="76" customFormat="1" ht="12" customHeight="1" x14ac:dyDescent="0.25">
      <c r="A224" s="440"/>
      <c r="B224" s="441"/>
      <c r="C224" s="133" t="s">
        <v>30</v>
      </c>
      <c r="D224" s="80">
        <f>'[3]табл.8 11.10.21'!H235</f>
        <v>5000000</v>
      </c>
      <c r="E224" s="80"/>
      <c r="F224" s="80">
        <f t="shared" si="26"/>
        <v>0</v>
      </c>
      <c r="G224" s="441"/>
      <c r="H224" s="441"/>
      <c r="I224" s="440"/>
      <c r="J224" s="434"/>
      <c r="K224" s="434"/>
      <c r="L224" s="74"/>
      <c r="M224" s="74"/>
      <c r="N224" s="74"/>
      <c r="O224" s="74"/>
      <c r="P224" s="74"/>
      <c r="Q224" s="75"/>
      <c r="R224" s="75"/>
      <c r="S224" s="75"/>
      <c r="T224" s="75"/>
    </row>
    <row r="225" spans="1:20" s="76" customFormat="1" ht="12" customHeight="1" x14ac:dyDescent="0.25">
      <c r="A225" s="440"/>
      <c r="B225" s="441"/>
      <c r="C225" s="133" t="s">
        <v>32</v>
      </c>
      <c r="D225" s="80">
        <f>'[3]табл.8 11.10.21'!F235</f>
        <v>0</v>
      </c>
      <c r="E225" s="80">
        <v>0</v>
      </c>
      <c r="F225" s="80">
        <v>0</v>
      </c>
      <c r="G225" s="441"/>
      <c r="H225" s="441"/>
      <c r="I225" s="440"/>
      <c r="J225" s="434"/>
      <c r="K225" s="434"/>
      <c r="L225" s="74"/>
      <c r="M225" s="74"/>
      <c r="N225" s="74"/>
      <c r="O225" s="74"/>
      <c r="P225" s="74"/>
      <c r="Q225" s="75"/>
      <c r="R225" s="75"/>
      <c r="S225" s="75"/>
      <c r="T225" s="75"/>
    </row>
    <row r="226" spans="1:20" s="76" customFormat="1" ht="12" customHeight="1" x14ac:dyDescent="0.25">
      <c r="A226" s="440"/>
      <c r="B226" s="441"/>
      <c r="C226" s="133" t="s">
        <v>34</v>
      </c>
      <c r="D226" s="80">
        <f>'[3]табл.8 11.10.21'!G235</f>
        <v>0</v>
      </c>
      <c r="E226" s="80">
        <v>0</v>
      </c>
      <c r="F226" s="80">
        <v>0</v>
      </c>
      <c r="G226" s="441"/>
      <c r="H226" s="441"/>
      <c r="I226" s="440"/>
      <c r="J226" s="434"/>
      <c r="K226" s="434"/>
      <c r="L226" s="74"/>
      <c r="M226" s="74"/>
      <c r="N226" s="74"/>
      <c r="O226" s="74"/>
      <c r="P226" s="74"/>
      <c r="Q226" s="75"/>
      <c r="R226" s="75"/>
      <c r="S226" s="75"/>
      <c r="T226" s="75"/>
    </row>
    <row r="227" spans="1:20" s="76" customFormat="1" ht="12" customHeight="1" x14ac:dyDescent="0.25">
      <c r="A227" s="440"/>
      <c r="B227" s="441"/>
      <c r="C227" s="133" t="s">
        <v>36</v>
      </c>
      <c r="D227" s="80">
        <f>'[3]табл.8 11.10.21'!I235</f>
        <v>0</v>
      </c>
      <c r="E227" s="80">
        <v>0</v>
      </c>
      <c r="F227" s="80">
        <v>0</v>
      </c>
      <c r="G227" s="441"/>
      <c r="H227" s="441"/>
      <c r="I227" s="440"/>
      <c r="J227" s="434"/>
      <c r="K227" s="434"/>
      <c r="L227" s="74"/>
      <c r="M227" s="74"/>
      <c r="N227" s="74"/>
      <c r="O227" s="74"/>
      <c r="P227" s="74"/>
      <c r="Q227" s="75"/>
      <c r="R227" s="75"/>
      <c r="S227" s="75"/>
      <c r="T227" s="75"/>
    </row>
    <row r="228" spans="1:20" s="70" customFormat="1" ht="12" customHeight="1" x14ac:dyDescent="0.25">
      <c r="A228" s="476" t="s">
        <v>118</v>
      </c>
      <c r="B228" s="477" t="s">
        <v>119</v>
      </c>
      <c r="C228" s="65" t="s">
        <v>28</v>
      </c>
      <c r="D228" s="66">
        <f>D229+D230+D231+D232</f>
        <v>13696691.380000001</v>
      </c>
      <c r="E228" s="66">
        <f>E229+E230+E231+E232</f>
        <v>0</v>
      </c>
      <c r="F228" s="66">
        <f t="shared" ref="F228:F231" si="28">E228/D228</f>
        <v>0</v>
      </c>
      <c r="G228" s="478"/>
      <c r="H228" s="67" t="s">
        <v>39</v>
      </c>
      <c r="I228" s="65"/>
      <c r="J228" s="479"/>
      <c r="K228" s="479"/>
      <c r="L228" s="68"/>
      <c r="M228" s="235">
        <f>D228+D203+D173-D182</f>
        <v>103110305.96000001</v>
      </c>
      <c r="N228" s="68"/>
      <c r="O228" s="68"/>
      <c r="P228" s="68"/>
      <c r="Q228" s="69"/>
      <c r="R228" s="69"/>
      <c r="S228" s="69"/>
      <c r="T228" s="69"/>
    </row>
    <row r="229" spans="1:20" s="76" customFormat="1" ht="12" customHeight="1" x14ac:dyDescent="0.25">
      <c r="A229" s="476"/>
      <c r="B229" s="477"/>
      <c r="C229" s="145" t="s">
        <v>30</v>
      </c>
      <c r="D229" s="72">
        <f>D234+D239+D244</f>
        <v>687224.37</v>
      </c>
      <c r="E229" s="72">
        <f>E234+E239+E244</f>
        <v>0</v>
      </c>
      <c r="F229" s="66">
        <f t="shared" si="28"/>
        <v>0</v>
      </c>
      <c r="G229" s="478"/>
      <c r="H229" s="73" t="s">
        <v>31</v>
      </c>
      <c r="I229" s="145"/>
      <c r="J229" s="479"/>
      <c r="K229" s="479"/>
      <c r="L229" s="74"/>
      <c r="M229" s="74"/>
      <c r="N229" s="74"/>
      <c r="O229" s="74"/>
      <c r="P229" s="74"/>
      <c r="Q229" s="75"/>
      <c r="R229" s="75"/>
      <c r="S229" s="75"/>
      <c r="T229" s="75"/>
    </row>
    <row r="230" spans="1:20" s="76" customFormat="1" ht="12" customHeight="1" x14ac:dyDescent="0.25">
      <c r="A230" s="476"/>
      <c r="B230" s="477"/>
      <c r="C230" s="145" t="s">
        <v>32</v>
      </c>
      <c r="D230" s="72">
        <f t="shared" ref="D230:E232" si="29">D235+D240+D245</f>
        <v>6495041.1500000004</v>
      </c>
      <c r="E230" s="72">
        <f t="shared" si="29"/>
        <v>0</v>
      </c>
      <c r="F230" s="66">
        <f t="shared" si="28"/>
        <v>0</v>
      </c>
      <c r="G230" s="478"/>
      <c r="H230" s="73" t="s">
        <v>33</v>
      </c>
      <c r="I230" s="145"/>
      <c r="J230" s="479"/>
      <c r="K230" s="479"/>
      <c r="L230" s="74"/>
      <c r="M230" s="74"/>
      <c r="N230" s="74"/>
      <c r="O230" s="74"/>
      <c r="P230" s="74"/>
      <c r="Q230" s="75"/>
      <c r="R230" s="75"/>
      <c r="S230" s="75"/>
      <c r="T230" s="75"/>
    </row>
    <row r="231" spans="1:20" s="76" customFormat="1" ht="12" customHeight="1" x14ac:dyDescent="0.25">
      <c r="A231" s="476"/>
      <c r="B231" s="477"/>
      <c r="C231" s="145" t="s">
        <v>34</v>
      </c>
      <c r="D231" s="72">
        <f t="shared" si="29"/>
        <v>6514425.8600000003</v>
      </c>
      <c r="E231" s="72">
        <f t="shared" si="29"/>
        <v>0</v>
      </c>
      <c r="F231" s="66">
        <f t="shared" si="28"/>
        <v>0</v>
      </c>
      <c r="G231" s="478"/>
      <c r="H231" s="73" t="s">
        <v>35</v>
      </c>
      <c r="I231" s="145"/>
      <c r="J231" s="479"/>
      <c r="K231" s="479"/>
      <c r="L231" s="74"/>
      <c r="M231" s="74"/>
      <c r="N231" s="74"/>
      <c r="O231" s="74"/>
      <c r="P231" s="74"/>
      <c r="Q231" s="75"/>
      <c r="R231" s="75"/>
      <c r="S231" s="75"/>
      <c r="T231" s="75"/>
    </row>
    <row r="232" spans="1:20" s="76" customFormat="1" ht="12" customHeight="1" x14ac:dyDescent="0.25">
      <c r="A232" s="476"/>
      <c r="B232" s="477"/>
      <c r="C232" s="145" t="s">
        <v>36</v>
      </c>
      <c r="D232" s="72">
        <f t="shared" si="29"/>
        <v>0</v>
      </c>
      <c r="E232" s="72">
        <f t="shared" si="29"/>
        <v>0</v>
      </c>
      <c r="F232" s="66">
        <v>0</v>
      </c>
      <c r="G232" s="478"/>
      <c r="H232" s="73" t="s">
        <v>37</v>
      </c>
      <c r="I232" s="145"/>
      <c r="J232" s="479"/>
      <c r="K232" s="479"/>
      <c r="L232" s="74"/>
      <c r="M232" s="74"/>
      <c r="N232" s="74"/>
      <c r="O232" s="74"/>
      <c r="P232" s="74"/>
      <c r="Q232" s="75"/>
      <c r="R232" s="75"/>
      <c r="S232" s="75"/>
      <c r="T232" s="75"/>
    </row>
    <row r="233" spans="1:20" s="70" customFormat="1" ht="12" customHeight="1" x14ac:dyDescent="0.25">
      <c r="A233" s="470" t="s">
        <v>120</v>
      </c>
      <c r="B233" s="471" t="s">
        <v>121</v>
      </c>
      <c r="C233" s="83" t="s">
        <v>28</v>
      </c>
      <c r="D233" s="84">
        <f>D234+D235+D236+D237</f>
        <v>6385857</v>
      </c>
      <c r="E233" s="84">
        <f>E234+E235+E236+E237</f>
        <v>0</v>
      </c>
      <c r="F233" s="84">
        <f t="shared" ref="F233:F246" si="30">E233/D233</f>
        <v>0</v>
      </c>
      <c r="G233" s="441" t="s">
        <v>48</v>
      </c>
      <c r="H233" s="441" t="s">
        <v>49</v>
      </c>
      <c r="I233" s="440" t="s">
        <v>50</v>
      </c>
      <c r="J233" s="434"/>
      <c r="K233" s="434"/>
      <c r="L233" s="68"/>
      <c r="M233" s="68"/>
      <c r="N233" s="68"/>
      <c r="O233" s="68"/>
      <c r="P233" s="68"/>
      <c r="Q233" s="69"/>
      <c r="R233" s="69"/>
      <c r="S233" s="69"/>
      <c r="T233" s="69"/>
    </row>
    <row r="234" spans="1:20" s="76" customFormat="1" ht="12" customHeight="1" x14ac:dyDescent="0.25">
      <c r="A234" s="470"/>
      <c r="B234" s="471"/>
      <c r="C234" s="85" t="s">
        <v>30</v>
      </c>
      <c r="D234" s="86">
        <f>'[3]табл.8 11.10.21'!H247</f>
        <v>138911.79</v>
      </c>
      <c r="E234" s="86"/>
      <c r="F234" s="86">
        <f t="shared" si="30"/>
        <v>0</v>
      </c>
      <c r="G234" s="441"/>
      <c r="H234" s="441"/>
      <c r="I234" s="440"/>
      <c r="J234" s="434"/>
      <c r="K234" s="434"/>
      <c r="L234" s="74"/>
      <c r="M234" s="74"/>
      <c r="N234" s="74"/>
      <c r="O234" s="74"/>
      <c r="P234" s="74"/>
      <c r="Q234" s="75"/>
      <c r="R234" s="75"/>
      <c r="S234" s="75"/>
      <c r="T234" s="75"/>
    </row>
    <row r="235" spans="1:20" s="76" customFormat="1" ht="12" customHeight="1" x14ac:dyDescent="0.25">
      <c r="A235" s="470"/>
      <c r="B235" s="471"/>
      <c r="C235" s="85" t="s">
        <v>32</v>
      </c>
      <c r="D235" s="86">
        <f>'[3]табл.8 11.10.21'!F247</f>
        <v>4533960</v>
      </c>
      <c r="E235" s="86"/>
      <c r="F235" s="86">
        <f t="shared" si="30"/>
        <v>0</v>
      </c>
      <c r="G235" s="441"/>
      <c r="H235" s="441"/>
      <c r="I235" s="440"/>
      <c r="J235" s="434"/>
      <c r="K235" s="434"/>
      <c r="L235" s="74"/>
      <c r="M235" s="74"/>
      <c r="N235" s="74"/>
      <c r="O235" s="74"/>
      <c r="P235" s="74"/>
      <c r="Q235" s="75"/>
      <c r="R235" s="75"/>
      <c r="S235" s="75"/>
      <c r="T235" s="75"/>
    </row>
    <row r="236" spans="1:20" s="76" customFormat="1" ht="12" customHeight="1" x14ac:dyDescent="0.25">
      <c r="A236" s="470"/>
      <c r="B236" s="471"/>
      <c r="C236" s="85" t="s">
        <v>34</v>
      </c>
      <c r="D236" s="86">
        <f>'[3]табл.8 11.10.21'!G247</f>
        <v>1712985.21</v>
      </c>
      <c r="E236" s="86"/>
      <c r="F236" s="86">
        <f t="shared" si="30"/>
        <v>0</v>
      </c>
      <c r="G236" s="441"/>
      <c r="H236" s="441"/>
      <c r="I236" s="440"/>
      <c r="J236" s="434"/>
      <c r="K236" s="434"/>
      <c r="L236" s="74"/>
      <c r="M236" s="74"/>
      <c r="N236" s="74"/>
      <c r="O236" s="74"/>
      <c r="P236" s="74"/>
      <c r="Q236" s="75"/>
      <c r="R236" s="75"/>
      <c r="S236" s="75"/>
      <c r="T236" s="75"/>
    </row>
    <row r="237" spans="1:20" s="76" customFormat="1" ht="12" customHeight="1" x14ac:dyDescent="0.25">
      <c r="A237" s="470"/>
      <c r="B237" s="471"/>
      <c r="C237" s="85" t="s">
        <v>36</v>
      </c>
      <c r="D237" s="86">
        <f>'[3]табл.8 11.10.21'!I247</f>
        <v>0</v>
      </c>
      <c r="E237" s="86">
        <v>0</v>
      </c>
      <c r="F237" s="86">
        <v>0</v>
      </c>
      <c r="G237" s="441"/>
      <c r="H237" s="441"/>
      <c r="I237" s="440"/>
      <c r="J237" s="434"/>
      <c r="K237" s="434"/>
      <c r="L237" s="74"/>
      <c r="M237" s="74"/>
      <c r="N237" s="74"/>
      <c r="O237" s="74"/>
      <c r="P237" s="74"/>
      <c r="Q237" s="75"/>
      <c r="R237" s="75"/>
      <c r="S237" s="75"/>
      <c r="T237" s="75"/>
    </row>
    <row r="238" spans="1:20" s="70" customFormat="1" ht="12.75" customHeight="1" x14ac:dyDescent="0.25">
      <c r="A238" s="470" t="s">
        <v>122</v>
      </c>
      <c r="B238" s="471" t="s">
        <v>123</v>
      </c>
      <c r="C238" s="83" t="s">
        <v>28</v>
      </c>
      <c r="D238" s="84">
        <f>D239+D240+D241+D242</f>
        <v>0</v>
      </c>
      <c r="E238" s="84">
        <f>E239+E240+E241+E242</f>
        <v>0</v>
      </c>
      <c r="F238" s="84">
        <v>0</v>
      </c>
      <c r="G238" s="441" t="s">
        <v>48</v>
      </c>
      <c r="H238" s="441" t="s">
        <v>49</v>
      </c>
      <c r="I238" s="440" t="s">
        <v>50</v>
      </c>
      <c r="J238" s="434"/>
      <c r="K238" s="434"/>
      <c r="L238" s="68"/>
      <c r="M238" s="68"/>
      <c r="N238" s="68"/>
      <c r="O238" s="68"/>
      <c r="P238" s="68"/>
      <c r="Q238" s="69"/>
      <c r="R238" s="69"/>
      <c r="S238" s="69"/>
      <c r="T238" s="69"/>
    </row>
    <row r="239" spans="1:20" s="76" customFormat="1" ht="12" customHeight="1" x14ac:dyDescent="0.25">
      <c r="A239" s="470"/>
      <c r="B239" s="471"/>
      <c r="C239" s="85" t="s">
        <v>30</v>
      </c>
      <c r="D239" s="86">
        <f>'[3]табл.8 11.10.21'!H253</f>
        <v>0</v>
      </c>
      <c r="E239" s="86">
        <v>0</v>
      </c>
      <c r="F239" s="86">
        <v>0</v>
      </c>
      <c r="G239" s="441"/>
      <c r="H239" s="441"/>
      <c r="I239" s="440"/>
      <c r="J239" s="434"/>
      <c r="K239" s="434"/>
      <c r="L239" s="74"/>
      <c r="M239" s="74"/>
      <c r="N239" s="74"/>
      <c r="O239" s="74"/>
      <c r="P239" s="74"/>
      <c r="Q239" s="75"/>
      <c r="R239" s="75"/>
      <c r="S239" s="75"/>
      <c r="T239" s="75"/>
    </row>
    <row r="240" spans="1:20" s="76" customFormat="1" ht="12" customHeight="1" x14ac:dyDescent="0.25">
      <c r="A240" s="470"/>
      <c r="B240" s="471"/>
      <c r="C240" s="85" t="s">
        <v>32</v>
      </c>
      <c r="D240" s="86">
        <f>'[3]табл.8 11.10.21'!F253</f>
        <v>0</v>
      </c>
      <c r="E240" s="86">
        <v>0</v>
      </c>
      <c r="F240" s="86">
        <v>0</v>
      </c>
      <c r="G240" s="441"/>
      <c r="H240" s="441"/>
      <c r="I240" s="440"/>
      <c r="J240" s="434"/>
      <c r="K240" s="434"/>
      <c r="L240" s="74"/>
      <c r="M240" s="74"/>
      <c r="N240" s="74"/>
      <c r="O240" s="74"/>
      <c r="P240" s="74"/>
      <c r="Q240" s="75"/>
      <c r="R240" s="75"/>
      <c r="S240" s="75"/>
      <c r="T240" s="75"/>
    </row>
    <row r="241" spans="1:20" s="76" customFormat="1" ht="12" customHeight="1" x14ac:dyDescent="0.25">
      <c r="A241" s="470"/>
      <c r="B241" s="471"/>
      <c r="C241" s="85" t="s">
        <v>34</v>
      </c>
      <c r="D241" s="86">
        <f>'[3]табл.8 11.10.21'!G253</f>
        <v>0</v>
      </c>
      <c r="E241" s="86">
        <v>0</v>
      </c>
      <c r="F241" s="86">
        <v>0</v>
      </c>
      <c r="G241" s="441"/>
      <c r="H241" s="441"/>
      <c r="I241" s="440"/>
      <c r="J241" s="434"/>
      <c r="K241" s="434"/>
      <c r="L241" s="74"/>
      <c r="M241" s="74"/>
      <c r="N241" s="74"/>
      <c r="O241" s="74"/>
      <c r="P241" s="74"/>
      <c r="Q241" s="75"/>
      <c r="R241" s="75"/>
      <c r="S241" s="75"/>
      <c r="T241" s="75"/>
    </row>
    <row r="242" spans="1:20" s="76" customFormat="1" ht="12" customHeight="1" x14ac:dyDescent="0.25">
      <c r="A242" s="470"/>
      <c r="B242" s="471"/>
      <c r="C242" s="85" t="s">
        <v>36</v>
      </c>
      <c r="D242" s="86">
        <f>'[3]табл.8 11.10.21'!I253</f>
        <v>0</v>
      </c>
      <c r="E242" s="86">
        <v>0</v>
      </c>
      <c r="F242" s="86">
        <v>0</v>
      </c>
      <c r="G242" s="441"/>
      <c r="H242" s="441"/>
      <c r="I242" s="440"/>
      <c r="J242" s="434"/>
      <c r="K242" s="434"/>
      <c r="L242" s="74"/>
      <c r="M242" s="74"/>
      <c r="N242" s="74"/>
      <c r="O242" s="74"/>
      <c r="P242" s="74"/>
      <c r="Q242" s="75"/>
      <c r="R242" s="75"/>
      <c r="S242" s="75"/>
      <c r="T242" s="75"/>
    </row>
    <row r="243" spans="1:20" s="70" customFormat="1" ht="12" customHeight="1" x14ac:dyDescent="0.25">
      <c r="A243" s="470" t="s">
        <v>124</v>
      </c>
      <c r="B243" s="471" t="s">
        <v>125</v>
      </c>
      <c r="C243" s="83" t="s">
        <v>28</v>
      </c>
      <c r="D243" s="84">
        <f>D244+D245+D246+D247</f>
        <v>7310834.3800000008</v>
      </c>
      <c r="E243" s="84">
        <f>E244+E245+E246+E247</f>
        <v>0</v>
      </c>
      <c r="F243" s="84">
        <f t="shared" si="30"/>
        <v>0</v>
      </c>
      <c r="G243" s="442"/>
      <c r="H243" s="81" t="s">
        <v>39</v>
      </c>
      <c r="I243" s="77"/>
      <c r="J243" s="434"/>
      <c r="K243" s="434"/>
      <c r="L243" s="68"/>
      <c r="M243" s="68"/>
      <c r="N243" s="68"/>
      <c r="O243" s="68"/>
      <c r="P243" s="68"/>
      <c r="Q243" s="69"/>
      <c r="R243" s="69"/>
      <c r="S243" s="69"/>
      <c r="T243" s="69"/>
    </row>
    <row r="244" spans="1:20" s="76" customFormat="1" ht="12" customHeight="1" x14ac:dyDescent="0.25">
      <c r="A244" s="470"/>
      <c r="B244" s="471"/>
      <c r="C244" s="85" t="s">
        <v>30</v>
      </c>
      <c r="D244" s="86">
        <f>'[3]табл.8 11.10.21'!H259</f>
        <v>548312.57999999996</v>
      </c>
      <c r="E244" s="86"/>
      <c r="F244" s="86">
        <f t="shared" si="30"/>
        <v>0</v>
      </c>
      <c r="G244" s="442"/>
      <c r="H244" s="82" t="s">
        <v>31</v>
      </c>
      <c r="I244" s="133"/>
      <c r="J244" s="434"/>
      <c r="K244" s="434"/>
      <c r="L244" s="74"/>
      <c r="M244" s="74"/>
      <c r="N244" s="74"/>
      <c r="O244" s="74"/>
      <c r="P244" s="74"/>
      <c r="Q244" s="75"/>
      <c r="R244" s="75"/>
      <c r="S244" s="75"/>
      <c r="T244" s="75"/>
    </row>
    <row r="245" spans="1:20" s="76" customFormat="1" ht="12" customHeight="1" x14ac:dyDescent="0.25">
      <c r="A245" s="470"/>
      <c r="B245" s="471"/>
      <c r="C245" s="85" t="s">
        <v>32</v>
      </c>
      <c r="D245" s="86">
        <f>'[3]табл.8 11.10.21'!F259</f>
        <v>1961081.15</v>
      </c>
      <c r="E245" s="86"/>
      <c r="F245" s="86">
        <f t="shared" si="30"/>
        <v>0</v>
      </c>
      <c r="G245" s="442"/>
      <c r="H245" s="82" t="s">
        <v>33</v>
      </c>
      <c r="I245" s="133"/>
      <c r="J245" s="434"/>
      <c r="K245" s="434"/>
      <c r="L245" s="74"/>
      <c r="M245" s="74"/>
      <c r="N245" s="74"/>
      <c r="O245" s="74"/>
      <c r="P245" s="74"/>
      <c r="Q245" s="75"/>
      <c r="R245" s="75"/>
      <c r="S245" s="75"/>
      <c r="T245" s="75"/>
    </row>
    <row r="246" spans="1:20" s="76" customFormat="1" ht="12" customHeight="1" x14ac:dyDescent="0.25">
      <c r="A246" s="470"/>
      <c r="B246" s="471"/>
      <c r="C246" s="85" t="s">
        <v>34</v>
      </c>
      <c r="D246" s="86">
        <f>'[3]табл.8 11.10.21'!G259</f>
        <v>4801440.6500000004</v>
      </c>
      <c r="E246" s="86"/>
      <c r="F246" s="86">
        <f t="shared" si="30"/>
        <v>0</v>
      </c>
      <c r="G246" s="442"/>
      <c r="H246" s="82" t="s">
        <v>35</v>
      </c>
      <c r="I246" s="133"/>
      <c r="J246" s="434"/>
      <c r="K246" s="434"/>
      <c r="L246" s="74"/>
      <c r="M246" s="74"/>
      <c r="N246" s="74"/>
      <c r="O246" s="74"/>
      <c r="P246" s="74"/>
      <c r="Q246" s="75"/>
      <c r="R246" s="75"/>
      <c r="S246" s="75"/>
      <c r="T246" s="75"/>
    </row>
    <row r="247" spans="1:20" s="76" customFormat="1" ht="12" customHeight="1" x14ac:dyDescent="0.25">
      <c r="A247" s="470"/>
      <c r="B247" s="471"/>
      <c r="C247" s="85" t="s">
        <v>36</v>
      </c>
      <c r="D247" s="86">
        <f>'[3]табл.8 11.10.21'!I259</f>
        <v>0</v>
      </c>
      <c r="E247" s="86">
        <v>0</v>
      </c>
      <c r="F247" s="86">
        <v>0</v>
      </c>
      <c r="G247" s="442"/>
      <c r="H247" s="82" t="s">
        <v>37</v>
      </c>
      <c r="I247" s="133"/>
      <c r="J247" s="434"/>
      <c r="K247" s="434"/>
      <c r="L247" s="74"/>
      <c r="M247" s="74"/>
      <c r="N247" s="74"/>
      <c r="O247" s="74"/>
      <c r="P247" s="74"/>
      <c r="Q247" s="75"/>
      <c r="R247" s="75"/>
      <c r="S247" s="75"/>
      <c r="T247" s="75"/>
    </row>
    <row r="248" spans="1:20" ht="12" customHeight="1" x14ac:dyDescent="0.25">
      <c r="A248" s="472" t="s">
        <v>126</v>
      </c>
      <c r="B248" s="473" t="s">
        <v>127</v>
      </c>
      <c r="C248" s="144" t="s">
        <v>28</v>
      </c>
      <c r="D248" s="88">
        <f>D249+D250+D251+D252</f>
        <v>64819520.339999996</v>
      </c>
      <c r="E248" s="88">
        <f>E249+E250+E251+E252</f>
        <v>43072658.500000007</v>
      </c>
      <c r="F248" s="88">
        <f>E248/D248</f>
        <v>0.6645013457993757</v>
      </c>
      <c r="G248" s="474"/>
      <c r="H248" s="143" t="s">
        <v>39</v>
      </c>
      <c r="I248" s="144"/>
      <c r="J248" s="475"/>
      <c r="K248" s="475"/>
    </row>
    <row r="249" spans="1:20" ht="12" customHeight="1" x14ac:dyDescent="0.25">
      <c r="A249" s="472"/>
      <c r="B249" s="473"/>
      <c r="C249" s="144" t="s">
        <v>30</v>
      </c>
      <c r="D249" s="88">
        <f>D254+D264</f>
        <v>19028854.399999999</v>
      </c>
      <c r="E249" s="88">
        <f>E254+E264</f>
        <v>13573592.700000001</v>
      </c>
      <c r="F249" s="88">
        <f t="shared" ref="F249:F250" si="31">E249/D249</f>
        <v>0.71331633605857014</v>
      </c>
      <c r="G249" s="474"/>
      <c r="H249" s="143" t="s">
        <v>31</v>
      </c>
      <c r="I249" s="144"/>
      <c r="J249" s="475"/>
      <c r="K249" s="475"/>
    </row>
    <row r="250" spans="1:20" ht="12" customHeight="1" x14ac:dyDescent="0.25">
      <c r="A250" s="472"/>
      <c r="B250" s="473"/>
      <c r="C250" s="144" t="s">
        <v>32</v>
      </c>
      <c r="D250" s="88">
        <f t="shared" ref="D250:E252" si="32">D255+D265</f>
        <v>45790665.939999998</v>
      </c>
      <c r="E250" s="88">
        <f t="shared" si="32"/>
        <v>29499065.800000004</v>
      </c>
      <c r="F250" s="88">
        <f t="shared" si="31"/>
        <v>0.64421569755401564</v>
      </c>
      <c r="G250" s="474"/>
      <c r="H250" s="143" t="s">
        <v>33</v>
      </c>
      <c r="I250" s="144"/>
      <c r="J250" s="475"/>
      <c r="K250" s="475"/>
    </row>
    <row r="251" spans="1:20" ht="12" customHeight="1" x14ac:dyDescent="0.25">
      <c r="A251" s="472"/>
      <c r="B251" s="473"/>
      <c r="C251" s="144" t="s">
        <v>34</v>
      </c>
      <c r="D251" s="88">
        <f t="shared" si="32"/>
        <v>0</v>
      </c>
      <c r="E251" s="88">
        <f t="shared" si="32"/>
        <v>0</v>
      </c>
      <c r="F251" s="88">
        <v>0</v>
      </c>
      <c r="G251" s="474"/>
      <c r="H251" s="143" t="s">
        <v>35</v>
      </c>
      <c r="I251" s="144"/>
      <c r="J251" s="475"/>
      <c r="K251" s="475"/>
    </row>
    <row r="252" spans="1:20" ht="12" customHeight="1" x14ac:dyDescent="0.25">
      <c r="A252" s="472"/>
      <c r="B252" s="473"/>
      <c r="C252" s="144" t="s">
        <v>36</v>
      </c>
      <c r="D252" s="88">
        <f t="shared" si="32"/>
        <v>0</v>
      </c>
      <c r="E252" s="88">
        <f t="shared" si="32"/>
        <v>0</v>
      </c>
      <c r="F252" s="88">
        <v>0</v>
      </c>
      <c r="G252" s="474"/>
      <c r="H252" s="143" t="s">
        <v>37</v>
      </c>
      <c r="I252" s="144"/>
      <c r="J252" s="475"/>
      <c r="K252" s="475"/>
    </row>
    <row r="253" spans="1:20" ht="12" customHeight="1" x14ac:dyDescent="0.25">
      <c r="A253" s="466" t="s">
        <v>128</v>
      </c>
      <c r="B253" s="467" t="s">
        <v>129</v>
      </c>
      <c r="C253" s="142" t="s">
        <v>28</v>
      </c>
      <c r="D253" s="91">
        <f>D254+D255+D256+D257</f>
        <v>19028854.399999999</v>
      </c>
      <c r="E253" s="91">
        <f>E254+E255+E256+E257</f>
        <v>13573592.700000001</v>
      </c>
      <c r="F253" s="91">
        <f>E253/D253</f>
        <v>0.71331633605857014</v>
      </c>
      <c r="G253" s="468"/>
      <c r="H253" s="92" t="s">
        <v>39</v>
      </c>
      <c r="I253" s="142"/>
      <c r="J253" s="469"/>
      <c r="K253" s="469"/>
      <c r="L253" s="7">
        <f>'[3]01 10 2021'!H3+'[3]01 10 2021'!H4+'[3]01 10 2021'!H5+'[3]01 10 2021'!H6+'[3]01 10 2021'!H7+'[3]01 10 2021'!H81</f>
        <v>19188959.32</v>
      </c>
      <c r="M253" s="7">
        <f>'[3]01 10 2021'!I3+'[3]01 10 2021'!I4+'[3]01 10 2021'!I5+'[3]01 10 2021'!I6+'[3]01 10 2021'!I7+'[3]01 10 2021'!I81</f>
        <v>0</v>
      </c>
      <c r="N253" s="7">
        <f>'[3]01 10 2021'!J3+'[3]01 10 2021'!J4+'[3]01 10 2021'!J5+'[3]01 10 2021'!J6+'[3]01 10 2021'!J7+'[3]01 10 2021'!J81</f>
        <v>19188959.32</v>
      </c>
      <c r="O253" s="7">
        <f>'[3]01 10 2021'!K3+'[3]01 10 2021'!K4+'[3]01 10 2021'!K5+'[3]01 10 2021'!K6+'[3]01 10 2021'!K7+'[3]01 10 2021'!K81</f>
        <v>13635651.27</v>
      </c>
      <c r="P253" s="7">
        <f>'[3]01 10 2021'!L3+'[3]01 10 2021'!L4+'[3]01 10 2021'!L5+'[3]01 10 2021'!L6+'[3]01 10 2021'!L7+'[3]01 10 2021'!L81</f>
        <v>5553308.0500000017</v>
      </c>
      <c r="Q253" s="7">
        <f>'[3]01 10 2021'!M3+'[3]01 10 2021'!M4+'[3]01 10 2021'!M5+'[3]01 10 2021'!M6+'[3]01 10 2021'!M7+'[3]01 10 2021'!M81</f>
        <v>13601192.700000001</v>
      </c>
    </row>
    <row r="254" spans="1:20" ht="12" customHeight="1" x14ac:dyDescent="0.25">
      <c r="A254" s="466"/>
      <c r="B254" s="467"/>
      <c r="C254" s="142" t="s">
        <v>30</v>
      </c>
      <c r="D254" s="91">
        <f>D259</f>
        <v>19028854.399999999</v>
      </c>
      <c r="E254" s="91">
        <f>E259</f>
        <v>13573592.700000001</v>
      </c>
      <c r="F254" s="91">
        <f t="shared" ref="F254:F259" si="33">E254/D254</f>
        <v>0.71331633605857014</v>
      </c>
      <c r="G254" s="468"/>
      <c r="H254" s="92" t="s">
        <v>31</v>
      </c>
      <c r="I254" s="142"/>
      <c r="J254" s="469"/>
      <c r="K254" s="469"/>
    </row>
    <row r="255" spans="1:20" ht="12" customHeight="1" x14ac:dyDescent="0.25">
      <c r="A255" s="466"/>
      <c r="B255" s="467"/>
      <c r="C255" s="142" t="s">
        <v>32</v>
      </c>
      <c r="D255" s="91">
        <f t="shared" ref="D255:E257" si="34">D260</f>
        <v>0</v>
      </c>
      <c r="E255" s="91">
        <f t="shared" si="34"/>
        <v>0</v>
      </c>
      <c r="F255" s="91">
        <v>0</v>
      </c>
      <c r="G255" s="468"/>
      <c r="H255" s="92" t="s">
        <v>33</v>
      </c>
      <c r="I255" s="142"/>
      <c r="J255" s="469"/>
      <c r="K255" s="469"/>
    </row>
    <row r="256" spans="1:20" ht="12" customHeight="1" x14ac:dyDescent="0.25">
      <c r="A256" s="466"/>
      <c r="B256" s="467"/>
      <c r="C256" s="142" t="s">
        <v>34</v>
      </c>
      <c r="D256" s="91">
        <f t="shared" si="34"/>
        <v>0</v>
      </c>
      <c r="E256" s="91">
        <f t="shared" si="34"/>
        <v>0</v>
      </c>
      <c r="F256" s="91">
        <v>0</v>
      </c>
      <c r="G256" s="468"/>
      <c r="H256" s="92" t="s">
        <v>35</v>
      </c>
      <c r="I256" s="142"/>
      <c r="J256" s="469"/>
      <c r="K256" s="469"/>
    </row>
    <row r="257" spans="1:20" ht="12" customHeight="1" x14ac:dyDescent="0.25">
      <c r="A257" s="466"/>
      <c r="B257" s="467"/>
      <c r="C257" s="142" t="s">
        <v>36</v>
      </c>
      <c r="D257" s="91">
        <f t="shared" si="34"/>
        <v>0</v>
      </c>
      <c r="E257" s="91">
        <f t="shared" si="34"/>
        <v>0</v>
      </c>
      <c r="F257" s="91">
        <v>0</v>
      </c>
      <c r="G257" s="468"/>
      <c r="H257" s="92" t="s">
        <v>37</v>
      </c>
      <c r="I257" s="142"/>
      <c r="J257" s="469"/>
      <c r="K257" s="469"/>
    </row>
    <row r="258" spans="1:20" ht="12" customHeight="1" x14ac:dyDescent="0.25">
      <c r="A258" s="449" t="s">
        <v>130</v>
      </c>
      <c r="B258" s="450" t="s">
        <v>131</v>
      </c>
      <c r="C258" s="137" t="s">
        <v>28</v>
      </c>
      <c r="D258" s="15">
        <f>D259+D260+D261+D262</f>
        <v>19028854.399999999</v>
      </c>
      <c r="E258" s="15">
        <f>E259+E260+E261+E262</f>
        <v>13573592.700000001</v>
      </c>
      <c r="F258" s="15">
        <f t="shared" si="33"/>
        <v>0.71331633605857014</v>
      </c>
      <c r="G258" s="450" t="s">
        <v>48</v>
      </c>
      <c r="H258" s="450" t="s">
        <v>49</v>
      </c>
      <c r="I258" s="449" t="s">
        <v>50</v>
      </c>
      <c r="J258" s="451"/>
      <c r="K258" s="451"/>
    </row>
    <row r="259" spans="1:20" ht="12" customHeight="1" x14ac:dyDescent="0.25">
      <c r="A259" s="449"/>
      <c r="B259" s="450"/>
      <c r="C259" s="137" t="s">
        <v>30</v>
      </c>
      <c r="D259" s="15">
        <f>'[3]табл.8 11.10.21'!H277</f>
        <v>19028854.399999999</v>
      </c>
      <c r="E259" s="33">
        <f>'[3]01 10 2021'!M3+'[3]01 10 2021'!M4+'[3]01 10 2021'!M5+'[3]01 10 2021'!M6+'[3]01 10 2021'!M7+'[3]01 10 2021'!M85</f>
        <v>13573592.700000001</v>
      </c>
      <c r="F259" s="15">
        <f t="shared" si="33"/>
        <v>0.71331633605857014</v>
      </c>
      <c r="G259" s="450"/>
      <c r="H259" s="450"/>
      <c r="I259" s="449"/>
      <c r="J259" s="451"/>
      <c r="K259" s="451"/>
    </row>
    <row r="260" spans="1:20" ht="12" customHeight="1" x14ac:dyDescent="0.25">
      <c r="A260" s="449"/>
      <c r="B260" s="450"/>
      <c r="C260" s="137" t="s">
        <v>32</v>
      </c>
      <c r="D260" s="15">
        <f>'[3]табл.8 11.10.21'!F277</f>
        <v>0</v>
      </c>
      <c r="E260" s="15"/>
      <c r="F260" s="15">
        <v>0</v>
      </c>
      <c r="G260" s="450"/>
      <c r="H260" s="450"/>
      <c r="I260" s="449"/>
      <c r="J260" s="451"/>
      <c r="K260" s="451"/>
    </row>
    <row r="261" spans="1:20" ht="12" customHeight="1" x14ac:dyDescent="0.25">
      <c r="A261" s="449"/>
      <c r="B261" s="450"/>
      <c r="C261" s="137" t="s">
        <v>34</v>
      </c>
      <c r="D261" s="15">
        <f>'[3]табл.8 11.10.21'!G277</f>
        <v>0</v>
      </c>
      <c r="E261" s="15"/>
      <c r="F261" s="15">
        <v>0</v>
      </c>
      <c r="G261" s="450"/>
      <c r="H261" s="450"/>
      <c r="I261" s="449"/>
      <c r="J261" s="451"/>
      <c r="K261" s="451"/>
    </row>
    <row r="262" spans="1:20" ht="12" customHeight="1" x14ac:dyDescent="0.25">
      <c r="A262" s="449"/>
      <c r="B262" s="450"/>
      <c r="C262" s="137" t="s">
        <v>36</v>
      </c>
      <c r="D262" s="15">
        <f>'[3]табл.8 11.10.21'!I277</f>
        <v>0</v>
      </c>
      <c r="E262" s="15"/>
      <c r="F262" s="15">
        <v>0</v>
      </c>
      <c r="G262" s="450"/>
      <c r="H262" s="450"/>
      <c r="I262" s="449"/>
      <c r="J262" s="451"/>
      <c r="K262" s="451"/>
    </row>
    <row r="263" spans="1:20" s="70" customFormat="1" ht="12" customHeight="1" x14ac:dyDescent="0.25">
      <c r="A263" s="462" t="s">
        <v>132</v>
      </c>
      <c r="B263" s="463" t="s">
        <v>133</v>
      </c>
      <c r="C263" s="93" t="s">
        <v>28</v>
      </c>
      <c r="D263" s="94">
        <f>D264+D265+D266+D267</f>
        <v>45790665.939999998</v>
      </c>
      <c r="E263" s="94">
        <f>E264+E265+E266+E267</f>
        <v>29499065.800000004</v>
      </c>
      <c r="F263" s="94">
        <f>E263/D263</f>
        <v>0.64421569755401564</v>
      </c>
      <c r="G263" s="464"/>
      <c r="H263" s="95" t="s">
        <v>39</v>
      </c>
      <c r="I263" s="93"/>
      <c r="J263" s="465"/>
      <c r="K263" s="465"/>
      <c r="L263" s="68"/>
      <c r="M263" s="68"/>
      <c r="N263" s="68"/>
      <c r="O263" s="68"/>
      <c r="P263" s="68"/>
      <c r="Q263" s="69"/>
      <c r="R263" s="69"/>
      <c r="S263" s="69"/>
      <c r="T263" s="69"/>
    </row>
    <row r="264" spans="1:20" s="76" customFormat="1" ht="12" customHeight="1" x14ac:dyDescent="0.25">
      <c r="A264" s="462"/>
      <c r="B264" s="463"/>
      <c r="C264" s="141" t="s">
        <v>30</v>
      </c>
      <c r="D264" s="97">
        <f>D269+D274+D279+D284+D289+D294</f>
        <v>0</v>
      </c>
      <c r="E264" s="97">
        <f>E269+E274+E279+E284+E289+E294</f>
        <v>0</v>
      </c>
      <c r="F264" s="97">
        <v>0</v>
      </c>
      <c r="G264" s="464"/>
      <c r="H264" s="98" t="s">
        <v>31</v>
      </c>
      <c r="I264" s="141"/>
      <c r="J264" s="465"/>
      <c r="K264" s="465"/>
      <c r="L264" s="99">
        <f>D265-L265</f>
        <v>-21379541.900000006</v>
      </c>
      <c r="M264" s="74"/>
      <c r="N264" s="74"/>
      <c r="O264" s="74"/>
      <c r="P264" s="74"/>
      <c r="Q264" s="75"/>
      <c r="R264" s="75"/>
      <c r="S264" s="75"/>
      <c r="T264" s="75"/>
    </row>
    <row r="265" spans="1:20" s="76" customFormat="1" ht="12" customHeight="1" x14ac:dyDescent="0.25">
      <c r="A265" s="462"/>
      <c r="B265" s="463"/>
      <c r="C265" s="141" t="s">
        <v>32</v>
      </c>
      <c r="D265" s="97">
        <f t="shared" ref="D265:E267" si="35">D270+D275+D280+D285+D290+D295</f>
        <v>45790665.939999998</v>
      </c>
      <c r="E265" s="97">
        <f t="shared" si="35"/>
        <v>29499065.800000004</v>
      </c>
      <c r="F265" s="97">
        <f t="shared" ref="F265:F290" si="36">E265/D265</f>
        <v>0.64421569755401564</v>
      </c>
      <c r="G265" s="464"/>
      <c r="H265" s="98" t="s">
        <v>33</v>
      </c>
      <c r="I265" s="141"/>
      <c r="J265" s="465"/>
      <c r="K265" s="465"/>
      <c r="L265" s="75">
        <f>'[3]01 10 2021'!H121+'[3]01 10 2021'!H122+'[3]01 10 2021'!H123+'[3]01 10 2021'!H124+'[3]01 10 2021'!H125+'[3]01 10 2021'!H112+'[3]01 10 2021'!H108+'[3]01 10 2021'!H109+'[3]01 10 2021'!H110+'[3]01 10 2021'!H111+'[3]01 10 2021'!H119+'[3]01 10 2021'!H117+'[3]01 10 2021'!H118+'[3]01 10 2021'!H120</f>
        <v>67170207.840000004</v>
      </c>
      <c r="M265" s="75">
        <f>'[3]01 10 2021'!I121+'[3]01 10 2021'!I122+'[3]01 10 2021'!I123+'[3]01 10 2021'!I124+'[3]01 10 2021'!I125+'[3]01 10 2021'!I112+'[3]01 10 2021'!I108+'[3]01 10 2021'!I109+'[3]01 10 2021'!I110+'[3]01 10 2021'!I111+'[3]01 10 2021'!I119+'[3]01 10 2021'!I117+'[3]01 10 2021'!I118+'[3]01 10 2021'!I120</f>
        <v>0</v>
      </c>
      <c r="N265" s="75">
        <f>'[3]01 10 2021'!J121+'[3]01 10 2021'!J122+'[3]01 10 2021'!J123+'[3]01 10 2021'!J124+'[3]01 10 2021'!J125+'[3]01 10 2021'!J112+'[3]01 10 2021'!J108+'[3]01 10 2021'!J109+'[3]01 10 2021'!J110+'[3]01 10 2021'!J111+'[3]01 10 2021'!J119+'[3]01 10 2021'!J117+'[3]01 10 2021'!J118+'[3]01 10 2021'!J120</f>
        <v>67170207.840000004</v>
      </c>
      <c r="O265" s="75">
        <f>'[3]01 10 2021'!K121+'[3]01 10 2021'!K122+'[3]01 10 2021'!K123+'[3]01 10 2021'!K124+'[3]01 10 2021'!K125+'[3]01 10 2021'!K112+'[3]01 10 2021'!K108+'[3]01 10 2021'!K109+'[3]01 10 2021'!K110+'[3]01 10 2021'!K111+'[3]01 10 2021'!K119+'[3]01 10 2021'!K117+'[3]01 10 2021'!K118+'[3]01 10 2021'!K120</f>
        <v>40369855.119999997</v>
      </c>
      <c r="P265" s="75">
        <f>'[3]01 10 2021'!L121+'[3]01 10 2021'!L122+'[3]01 10 2021'!L123+'[3]01 10 2021'!L124+'[3]01 10 2021'!L125+'[3]01 10 2021'!L112+'[3]01 10 2021'!L108+'[3]01 10 2021'!L109+'[3]01 10 2021'!L110+'[3]01 10 2021'!L111+'[3]01 10 2021'!L119+'[3]01 10 2021'!L117+'[3]01 10 2021'!L118+'[3]01 10 2021'!L120</f>
        <v>26800352.719999999</v>
      </c>
      <c r="Q265" s="75">
        <f>'[3]01 10 2021'!M121+'[3]01 10 2021'!M122+'[3]01 10 2021'!M123+'[3]01 10 2021'!M124+'[3]01 10 2021'!M125+'[3]01 10 2021'!M112+'[3]01 10 2021'!M108+'[3]01 10 2021'!M109+'[3]01 10 2021'!M110+'[3]01 10 2021'!M111+'[3]01 10 2021'!M119+'[3]01 10 2021'!M117+'[3]01 10 2021'!M118+'[3]01 10 2021'!M120</f>
        <v>40365706.129999995</v>
      </c>
      <c r="R265" s="75"/>
      <c r="S265" s="75"/>
      <c r="T265" s="75"/>
    </row>
    <row r="266" spans="1:20" s="76" customFormat="1" ht="12" customHeight="1" x14ac:dyDescent="0.25">
      <c r="A266" s="462"/>
      <c r="B266" s="463"/>
      <c r="C266" s="141" t="s">
        <v>34</v>
      </c>
      <c r="D266" s="97">
        <f t="shared" si="35"/>
        <v>0</v>
      </c>
      <c r="E266" s="97">
        <f t="shared" si="35"/>
        <v>0</v>
      </c>
      <c r="F266" s="97">
        <v>0</v>
      </c>
      <c r="G266" s="464"/>
      <c r="H266" s="98" t="s">
        <v>35</v>
      </c>
      <c r="I266" s="141"/>
      <c r="J266" s="465"/>
      <c r="K266" s="465"/>
      <c r="L266" s="74"/>
      <c r="M266" s="74"/>
      <c r="N266" s="74"/>
      <c r="O266" s="74"/>
      <c r="P266" s="74"/>
      <c r="Q266" s="75"/>
      <c r="R266" s="75"/>
      <c r="S266" s="75"/>
      <c r="T266" s="75"/>
    </row>
    <row r="267" spans="1:20" s="76" customFormat="1" ht="12" customHeight="1" x14ac:dyDescent="0.25">
      <c r="A267" s="462"/>
      <c r="B267" s="463"/>
      <c r="C267" s="141" t="s">
        <v>36</v>
      </c>
      <c r="D267" s="97">
        <f t="shared" si="35"/>
        <v>0</v>
      </c>
      <c r="E267" s="97">
        <f t="shared" si="35"/>
        <v>0</v>
      </c>
      <c r="F267" s="97">
        <v>0</v>
      </c>
      <c r="G267" s="464"/>
      <c r="H267" s="98" t="s">
        <v>37</v>
      </c>
      <c r="I267" s="141"/>
      <c r="J267" s="465"/>
      <c r="K267" s="465"/>
      <c r="L267" s="74"/>
      <c r="M267" s="74"/>
      <c r="N267" s="74"/>
      <c r="O267" s="74"/>
      <c r="P267" s="74"/>
      <c r="Q267" s="75"/>
      <c r="R267" s="75"/>
      <c r="S267" s="75"/>
      <c r="T267" s="75"/>
    </row>
    <row r="268" spans="1:20" s="22" customFormat="1" ht="12" customHeight="1" x14ac:dyDescent="0.25">
      <c r="A268" s="449" t="s">
        <v>134</v>
      </c>
      <c r="B268" s="450" t="s">
        <v>135</v>
      </c>
      <c r="C268" s="17" t="s">
        <v>28</v>
      </c>
      <c r="D268" s="18">
        <f>D269+D270+D271+D272</f>
        <v>7518000</v>
      </c>
      <c r="E268" s="18">
        <f>E269+E270+E271+E272</f>
        <v>4831585.4399999995</v>
      </c>
      <c r="F268" s="18">
        <f t="shared" si="36"/>
        <v>0.64266898643256176</v>
      </c>
      <c r="G268" s="450" t="s">
        <v>48</v>
      </c>
      <c r="H268" s="450" t="s">
        <v>49</v>
      </c>
      <c r="I268" s="449" t="s">
        <v>50</v>
      </c>
      <c r="J268" s="451"/>
      <c r="K268" s="451"/>
      <c r="L268" s="20"/>
      <c r="M268" s="20"/>
      <c r="N268" s="20"/>
      <c r="O268" s="20"/>
      <c r="P268" s="20"/>
      <c r="Q268" s="21"/>
      <c r="R268" s="21"/>
      <c r="S268" s="21"/>
      <c r="T268" s="21"/>
    </row>
    <row r="269" spans="1:20" ht="12" customHeight="1" x14ac:dyDescent="0.25">
      <c r="A269" s="449"/>
      <c r="B269" s="450"/>
      <c r="C269" s="137" t="s">
        <v>30</v>
      </c>
      <c r="D269" s="15">
        <f>'[3]табл.8 11.10.21'!H289</f>
        <v>0</v>
      </c>
      <c r="E269" s="15">
        <v>0</v>
      </c>
      <c r="F269" s="15">
        <v>0</v>
      </c>
      <c r="G269" s="450"/>
      <c r="H269" s="450"/>
      <c r="I269" s="449"/>
      <c r="J269" s="451"/>
      <c r="K269" s="451"/>
    </row>
    <row r="270" spans="1:20" ht="12" customHeight="1" x14ac:dyDescent="0.25">
      <c r="A270" s="449"/>
      <c r="B270" s="450"/>
      <c r="C270" s="137" t="s">
        <v>32</v>
      </c>
      <c r="D270" s="15">
        <f>'[3]табл.8 11.10.21'!F289</f>
        <v>7518000</v>
      </c>
      <c r="E270" s="33">
        <f>'[3]01 10 2021'!M125+'[3]01 10 2021'!M126+'[3]01 10 2021'!M127+'[3]01 10 2021'!M128+'[3]01 10 2021'!M129</f>
        <v>4831585.4399999995</v>
      </c>
      <c r="F270" s="15">
        <f t="shared" si="36"/>
        <v>0.64266898643256176</v>
      </c>
      <c r="G270" s="450"/>
      <c r="H270" s="450"/>
      <c r="I270" s="449"/>
      <c r="J270" s="451"/>
      <c r="K270" s="451"/>
      <c r="L270" s="7">
        <f>'[3]01 10 2021'!H121+'[3]01 10 2021'!H122+'[3]01 10 2021'!H123+'[3]01 10 2021'!H124+'[3]01 10 2021'!H125</f>
        <v>41262003</v>
      </c>
    </row>
    <row r="271" spans="1:20" ht="12" customHeight="1" x14ac:dyDescent="0.25">
      <c r="A271" s="449"/>
      <c r="B271" s="450"/>
      <c r="C271" s="137" t="s">
        <v>34</v>
      </c>
      <c r="D271" s="15">
        <f>'[3]табл.8 11.10.21'!G289</f>
        <v>0</v>
      </c>
      <c r="E271" s="15">
        <v>0</v>
      </c>
      <c r="F271" s="15">
        <v>0</v>
      </c>
      <c r="G271" s="450"/>
      <c r="H271" s="450"/>
      <c r="I271" s="449"/>
      <c r="J271" s="451"/>
      <c r="K271" s="451"/>
    </row>
    <row r="272" spans="1:20" ht="12" customHeight="1" x14ac:dyDescent="0.25">
      <c r="A272" s="449"/>
      <c r="B272" s="450"/>
      <c r="C272" s="137" t="s">
        <v>36</v>
      </c>
      <c r="D272" s="15">
        <f>'[3]табл.8 11.10.21'!I289</f>
        <v>0</v>
      </c>
      <c r="E272" s="15">
        <v>0</v>
      </c>
      <c r="F272" s="15">
        <v>0</v>
      </c>
      <c r="G272" s="450"/>
      <c r="H272" s="450"/>
      <c r="I272" s="449"/>
      <c r="J272" s="451"/>
      <c r="K272" s="451"/>
    </row>
    <row r="273" spans="1:20" s="22" customFormat="1" ht="12.75" customHeight="1" x14ac:dyDescent="0.25">
      <c r="A273" s="449" t="s">
        <v>136</v>
      </c>
      <c r="B273" s="450" t="s">
        <v>137</v>
      </c>
      <c r="C273" s="17" t="s">
        <v>28</v>
      </c>
      <c r="D273" s="18">
        <f>D274+D275+D276+D277</f>
        <v>85565.94</v>
      </c>
      <c r="E273" s="18">
        <f>E274+E275+E276+E277</f>
        <v>0</v>
      </c>
      <c r="F273" s="18">
        <f t="shared" si="36"/>
        <v>0</v>
      </c>
      <c r="G273" s="450" t="s">
        <v>48</v>
      </c>
      <c r="H273" s="450" t="s">
        <v>49</v>
      </c>
      <c r="I273" s="449" t="s">
        <v>50</v>
      </c>
      <c r="J273" s="451"/>
      <c r="K273" s="451"/>
      <c r="L273" s="20"/>
      <c r="M273" s="20"/>
      <c r="N273" s="20"/>
      <c r="O273" s="20"/>
      <c r="P273" s="20"/>
      <c r="Q273" s="21"/>
      <c r="R273" s="21"/>
      <c r="S273" s="21"/>
      <c r="T273" s="21"/>
    </row>
    <row r="274" spans="1:20" ht="12" customHeight="1" x14ac:dyDescent="0.25">
      <c r="A274" s="449"/>
      <c r="B274" s="450"/>
      <c r="C274" s="137" t="s">
        <v>30</v>
      </c>
      <c r="D274" s="15">
        <f>'[3]табл.8 11.10.21'!H295</f>
        <v>0</v>
      </c>
      <c r="E274" s="15">
        <v>0</v>
      </c>
      <c r="F274" s="15">
        <v>0</v>
      </c>
      <c r="G274" s="450"/>
      <c r="H274" s="450"/>
      <c r="I274" s="449"/>
      <c r="J274" s="451"/>
      <c r="K274" s="451"/>
    </row>
    <row r="275" spans="1:20" ht="12" customHeight="1" x14ac:dyDescent="0.25">
      <c r="A275" s="449"/>
      <c r="B275" s="450"/>
      <c r="C275" s="137" t="s">
        <v>32</v>
      </c>
      <c r="D275" s="15">
        <f>'[3]табл.8 11.10.21'!F295</f>
        <v>85565.94</v>
      </c>
      <c r="E275" s="33">
        <f>'[3]01 10 2021'!M116</f>
        <v>0</v>
      </c>
      <c r="F275" s="15">
        <f t="shared" si="36"/>
        <v>0</v>
      </c>
      <c r="G275" s="450"/>
      <c r="H275" s="450"/>
      <c r="I275" s="449"/>
      <c r="J275" s="451"/>
      <c r="K275" s="451"/>
    </row>
    <row r="276" spans="1:20" ht="12" customHeight="1" x14ac:dyDescent="0.25">
      <c r="A276" s="449"/>
      <c r="B276" s="450"/>
      <c r="C276" s="137" t="s">
        <v>34</v>
      </c>
      <c r="D276" s="15">
        <f>'[3]табл.8 11.10.21'!G295</f>
        <v>0</v>
      </c>
      <c r="E276" s="15">
        <v>0</v>
      </c>
      <c r="F276" s="15">
        <v>0</v>
      </c>
      <c r="G276" s="450"/>
      <c r="H276" s="450"/>
      <c r="I276" s="449"/>
      <c r="J276" s="451"/>
      <c r="K276" s="451"/>
    </row>
    <row r="277" spans="1:20" ht="12" customHeight="1" x14ac:dyDescent="0.25">
      <c r="A277" s="449"/>
      <c r="B277" s="450"/>
      <c r="C277" s="137" t="s">
        <v>36</v>
      </c>
      <c r="D277" s="15">
        <f>'[3]табл.8 11.10.21'!I295</f>
        <v>0</v>
      </c>
      <c r="E277" s="15">
        <v>0</v>
      </c>
      <c r="F277" s="15">
        <v>0</v>
      </c>
      <c r="G277" s="450"/>
      <c r="H277" s="450"/>
      <c r="I277" s="449"/>
      <c r="J277" s="451"/>
      <c r="K277" s="451"/>
    </row>
    <row r="278" spans="1:20" s="22" customFormat="1" ht="12" customHeight="1" x14ac:dyDescent="0.25">
      <c r="A278" s="449" t="s">
        <v>138</v>
      </c>
      <c r="B278" s="450" t="s">
        <v>139</v>
      </c>
      <c r="C278" s="17" t="s">
        <v>28</v>
      </c>
      <c r="D278" s="18">
        <f>D279+D280+D281+D282</f>
        <v>1657100</v>
      </c>
      <c r="E278" s="18">
        <f>E279+E280+E281+E282</f>
        <v>822515.33</v>
      </c>
      <c r="F278" s="18">
        <f t="shared" si="36"/>
        <v>0.49635829461106751</v>
      </c>
      <c r="G278" s="457"/>
      <c r="H278" s="19" t="s">
        <v>39</v>
      </c>
      <c r="I278" s="17"/>
      <c r="J278" s="451"/>
      <c r="K278" s="451"/>
      <c r="L278" s="20"/>
      <c r="M278" s="20"/>
      <c r="N278" s="20"/>
      <c r="O278" s="20"/>
      <c r="P278" s="20"/>
      <c r="Q278" s="21"/>
      <c r="R278" s="21"/>
      <c r="S278" s="21"/>
      <c r="T278" s="21"/>
    </row>
    <row r="279" spans="1:20" ht="12" customHeight="1" x14ac:dyDescent="0.25">
      <c r="A279" s="449"/>
      <c r="B279" s="450"/>
      <c r="C279" s="137" t="s">
        <v>30</v>
      </c>
      <c r="D279" s="15">
        <f>'[3]табл.8 11.10.21'!H301</f>
        <v>0</v>
      </c>
      <c r="E279" s="15">
        <v>0</v>
      </c>
      <c r="F279" s="15">
        <v>0</v>
      </c>
      <c r="G279" s="457"/>
      <c r="H279" s="156" t="s">
        <v>31</v>
      </c>
      <c r="I279" s="137"/>
      <c r="J279" s="451"/>
      <c r="K279" s="451"/>
    </row>
    <row r="280" spans="1:20" ht="12" customHeight="1" x14ac:dyDescent="0.25">
      <c r="A280" s="449"/>
      <c r="B280" s="450"/>
      <c r="C280" s="137" t="s">
        <v>32</v>
      </c>
      <c r="D280" s="15">
        <f>'[3]табл.8 11.10.21'!F301</f>
        <v>1657100</v>
      </c>
      <c r="E280" s="33">
        <f>'[3]01 10 2021'!M112+'[3]01 10 2021'!M113+'[3]01 10 2021'!M114</f>
        <v>822515.33</v>
      </c>
      <c r="F280" s="15">
        <f t="shared" si="36"/>
        <v>0.49635829461106751</v>
      </c>
      <c r="G280" s="457"/>
      <c r="H280" s="156" t="s">
        <v>33</v>
      </c>
      <c r="I280" s="137"/>
      <c r="J280" s="451"/>
      <c r="K280" s="451"/>
    </row>
    <row r="281" spans="1:20" ht="12" customHeight="1" x14ac:dyDescent="0.25">
      <c r="A281" s="449"/>
      <c r="B281" s="450"/>
      <c r="C281" s="137" t="s">
        <v>34</v>
      </c>
      <c r="D281" s="15">
        <f>'[3]табл.8 11.10.21'!G301</f>
        <v>0</v>
      </c>
      <c r="E281" s="15">
        <v>0</v>
      </c>
      <c r="F281" s="15">
        <v>0</v>
      </c>
      <c r="G281" s="457"/>
      <c r="H281" s="156" t="s">
        <v>35</v>
      </c>
      <c r="I281" s="137"/>
      <c r="J281" s="451"/>
      <c r="K281" s="451"/>
    </row>
    <row r="282" spans="1:20" ht="12" customHeight="1" x14ac:dyDescent="0.25">
      <c r="A282" s="449"/>
      <c r="B282" s="450"/>
      <c r="C282" s="137" t="s">
        <v>36</v>
      </c>
      <c r="D282" s="15">
        <f>'[3]табл.8 11.10.21'!I301</f>
        <v>0</v>
      </c>
      <c r="E282" s="15">
        <v>0</v>
      </c>
      <c r="F282" s="15">
        <v>0</v>
      </c>
      <c r="G282" s="457"/>
      <c r="H282" s="156" t="s">
        <v>37</v>
      </c>
      <c r="I282" s="137"/>
      <c r="J282" s="451"/>
      <c r="K282" s="451"/>
    </row>
    <row r="283" spans="1:20" s="22" customFormat="1" ht="12" customHeight="1" x14ac:dyDescent="0.25">
      <c r="A283" s="449" t="s">
        <v>140</v>
      </c>
      <c r="B283" s="450" t="s">
        <v>141</v>
      </c>
      <c r="C283" s="17" t="s">
        <v>28</v>
      </c>
      <c r="D283" s="18">
        <f>D284+D285+D286+D287</f>
        <v>305000</v>
      </c>
      <c r="E283" s="18">
        <f>E284+E285+E286+E287</f>
        <v>295000</v>
      </c>
      <c r="F283" s="18">
        <f t="shared" si="36"/>
        <v>0.96721311475409832</v>
      </c>
      <c r="G283" s="450" t="s">
        <v>48</v>
      </c>
      <c r="H283" s="450" t="s">
        <v>49</v>
      </c>
      <c r="I283" s="449" t="s">
        <v>50</v>
      </c>
      <c r="J283" s="451"/>
      <c r="K283" s="451"/>
      <c r="L283" s="20"/>
      <c r="M283" s="20"/>
      <c r="N283" s="20"/>
      <c r="O283" s="20"/>
      <c r="P283" s="20"/>
      <c r="Q283" s="21"/>
      <c r="R283" s="21"/>
      <c r="S283" s="21"/>
      <c r="T283" s="21"/>
    </row>
    <row r="284" spans="1:20" ht="12" customHeight="1" x14ac:dyDescent="0.25">
      <c r="A284" s="449"/>
      <c r="B284" s="450"/>
      <c r="C284" s="137" t="s">
        <v>30</v>
      </c>
      <c r="D284" s="15">
        <f>'[3]табл.8 11.10.21'!H307</f>
        <v>0</v>
      </c>
      <c r="E284" s="15">
        <v>0</v>
      </c>
      <c r="F284" s="15">
        <v>0</v>
      </c>
      <c r="G284" s="450"/>
      <c r="H284" s="450"/>
      <c r="I284" s="449"/>
      <c r="J284" s="451"/>
      <c r="K284" s="451"/>
    </row>
    <row r="285" spans="1:20" ht="12" customHeight="1" x14ac:dyDescent="0.25">
      <c r="A285" s="449"/>
      <c r="B285" s="450"/>
      <c r="C285" s="137" t="s">
        <v>32</v>
      </c>
      <c r="D285" s="15">
        <f>'[3]табл.8 11.10.21'!F307</f>
        <v>305000</v>
      </c>
      <c r="E285" s="33">
        <f>'[3]01 10 2021'!M115</f>
        <v>295000</v>
      </c>
      <c r="F285" s="15">
        <f t="shared" si="36"/>
        <v>0.96721311475409832</v>
      </c>
      <c r="G285" s="450"/>
      <c r="H285" s="450"/>
      <c r="I285" s="449"/>
      <c r="J285" s="451"/>
      <c r="K285" s="451"/>
    </row>
    <row r="286" spans="1:20" ht="12" customHeight="1" x14ac:dyDescent="0.25">
      <c r="A286" s="449"/>
      <c r="B286" s="450"/>
      <c r="C286" s="137" t="s">
        <v>34</v>
      </c>
      <c r="D286" s="15">
        <f>'[3]табл.8 11.10.21'!G307</f>
        <v>0</v>
      </c>
      <c r="E286" s="15">
        <v>0</v>
      </c>
      <c r="F286" s="15">
        <v>0</v>
      </c>
      <c r="G286" s="450"/>
      <c r="H286" s="450"/>
      <c r="I286" s="449"/>
      <c r="J286" s="451"/>
      <c r="K286" s="451"/>
    </row>
    <row r="287" spans="1:20" ht="12" customHeight="1" x14ac:dyDescent="0.25">
      <c r="A287" s="449"/>
      <c r="B287" s="450"/>
      <c r="C287" s="137" t="s">
        <v>36</v>
      </c>
      <c r="D287" s="15">
        <f>'[3]табл.8 11.10.21'!I307</f>
        <v>0</v>
      </c>
      <c r="E287" s="15">
        <v>0</v>
      </c>
      <c r="F287" s="15">
        <v>0</v>
      </c>
      <c r="G287" s="450"/>
      <c r="H287" s="450"/>
      <c r="I287" s="449"/>
      <c r="J287" s="451"/>
      <c r="K287" s="451"/>
    </row>
    <row r="288" spans="1:20" s="22" customFormat="1" ht="12" customHeight="1" x14ac:dyDescent="0.25">
      <c r="A288" s="449" t="s">
        <v>142</v>
      </c>
      <c r="B288" s="450" t="s">
        <v>143</v>
      </c>
      <c r="C288" s="17" t="s">
        <v>28</v>
      </c>
      <c r="D288" s="18">
        <f>D289+D290+D291+D292</f>
        <v>692700</v>
      </c>
      <c r="E288" s="18">
        <f>E289+E290+E291+E292</f>
        <v>301226.83</v>
      </c>
      <c r="F288" s="18">
        <f t="shared" si="36"/>
        <v>0.43485900101053848</v>
      </c>
      <c r="G288" s="457"/>
      <c r="H288" s="19" t="s">
        <v>39</v>
      </c>
      <c r="I288" s="17"/>
      <c r="J288" s="451"/>
      <c r="K288" s="451"/>
      <c r="L288" s="20"/>
      <c r="M288" s="20"/>
      <c r="N288" s="20"/>
      <c r="O288" s="20"/>
      <c r="P288" s="20"/>
      <c r="Q288" s="21"/>
      <c r="R288" s="21"/>
      <c r="S288" s="21"/>
      <c r="T288" s="21"/>
    </row>
    <row r="289" spans="1:20" ht="12" customHeight="1" x14ac:dyDescent="0.25">
      <c r="A289" s="449"/>
      <c r="B289" s="450"/>
      <c r="C289" s="137" t="s">
        <v>30</v>
      </c>
      <c r="D289" s="15">
        <f>'[3]табл.8 11.10.21'!H313</f>
        <v>0</v>
      </c>
      <c r="E289" s="15">
        <v>0</v>
      </c>
      <c r="F289" s="15">
        <v>0</v>
      </c>
      <c r="G289" s="457"/>
      <c r="H289" s="156" t="s">
        <v>31</v>
      </c>
      <c r="I289" s="137"/>
      <c r="J289" s="451"/>
      <c r="K289" s="451"/>
    </row>
    <row r="290" spans="1:20" ht="12" customHeight="1" x14ac:dyDescent="0.25">
      <c r="A290" s="449"/>
      <c r="B290" s="450"/>
      <c r="C290" s="137" t="s">
        <v>32</v>
      </c>
      <c r="D290" s="15">
        <f>'[3]табл.8 11.10.21'!F313</f>
        <v>692700</v>
      </c>
      <c r="E290" s="33">
        <f>'[3]01 10 2021'!M123</f>
        <v>301226.83</v>
      </c>
      <c r="F290" s="15">
        <f t="shared" si="36"/>
        <v>0.43485900101053848</v>
      </c>
      <c r="G290" s="457"/>
      <c r="H290" s="156" t="s">
        <v>33</v>
      </c>
      <c r="I290" s="137"/>
      <c r="J290" s="451"/>
      <c r="K290" s="451"/>
    </row>
    <row r="291" spans="1:20" ht="12" customHeight="1" x14ac:dyDescent="0.25">
      <c r="A291" s="449"/>
      <c r="B291" s="450"/>
      <c r="C291" s="137" t="s">
        <v>34</v>
      </c>
      <c r="D291" s="15">
        <f>'[3]табл.8 11.10.21'!G313</f>
        <v>0</v>
      </c>
      <c r="E291" s="33">
        <v>0</v>
      </c>
      <c r="F291" s="15">
        <v>0</v>
      </c>
      <c r="G291" s="457"/>
      <c r="H291" s="156" t="s">
        <v>35</v>
      </c>
      <c r="I291" s="137"/>
      <c r="J291" s="451"/>
      <c r="K291" s="451"/>
    </row>
    <row r="292" spans="1:20" ht="12" customHeight="1" x14ac:dyDescent="0.25">
      <c r="A292" s="449"/>
      <c r="B292" s="450"/>
      <c r="C292" s="137" t="s">
        <v>36</v>
      </c>
      <c r="D292" s="15">
        <f>'[3]табл.8 11.10.21'!I313</f>
        <v>0</v>
      </c>
      <c r="E292" s="15">
        <v>0</v>
      </c>
      <c r="F292" s="15">
        <v>0</v>
      </c>
      <c r="G292" s="457"/>
      <c r="H292" s="156" t="s">
        <v>37</v>
      </c>
      <c r="I292" s="137"/>
      <c r="J292" s="451"/>
      <c r="K292" s="451"/>
    </row>
    <row r="293" spans="1:20" s="22" customFormat="1" ht="12" customHeight="1" x14ac:dyDescent="0.25">
      <c r="A293" s="449" t="s">
        <v>144</v>
      </c>
      <c r="B293" s="450" t="s">
        <v>145</v>
      </c>
      <c r="C293" s="17" t="s">
        <v>28</v>
      </c>
      <c r="D293" s="18">
        <f>D294+D295+D296+D297</f>
        <v>35532300</v>
      </c>
      <c r="E293" s="18">
        <f>E294+E295+E296+E297</f>
        <v>23248738.200000003</v>
      </c>
      <c r="F293" s="18">
        <f t="shared" ref="F293:F295" si="37">E293/D293</f>
        <v>0.65429871412770924</v>
      </c>
      <c r="G293" s="457"/>
      <c r="H293" s="19" t="s">
        <v>39</v>
      </c>
      <c r="I293" s="17"/>
      <c r="J293" s="451"/>
      <c r="K293" s="451"/>
      <c r="L293" s="20"/>
      <c r="M293" s="20"/>
      <c r="N293" s="20"/>
      <c r="O293" s="20"/>
      <c r="P293" s="20"/>
      <c r="Q293" s="21"/>
      <c r="R293" s="21"/>
      <c r="S293" s="21"/>
      <c r="T293" s="21"/>
    </row>
    <row r="294" spans="1:20" ht="12" customHeight="1" x14ac:dyDescent="0.25">
      <c r="A294" s="449"/>
      <c r="B294" s="450"/>
      <c r="C294" s="137" t="s">
        <v>30</v>
      </c>
      <c r="D294" s="15">
        <f>'[3]табл.8 11.10.21'!H319</f>
        <v>0</v>
      </c>
      <c r="E294" s="15">
        <v>0</v>
      </c>
      <c r="F294" s="15">
        <v>0</v>
      </c>
      <c r="G294" s="457"/>
      <c r="H294" s="156" t="s">
        <v>31</v>
      </c>
      <c r="I294" s="137"/>
      <c r="J294" s="451"/>
      <c r="K294" s="451"/>
    </row>
    <row r="295" spans="1:20" ht="12" customHeight="1" x14ac:dyDescent="0.25">
      <c r="A295" s="449"/>
      <c r="B295" s="450"/>
      <c r="C295" s="137" t="s">
        <v>32</v>
      </c>
      <c r="D295" s="33">
        <f>'[3]табл.8 11.10.21'!F319</f>
        <v>35532300</v>
      </c>
      <c r="E295" s="33">
        <f>'[3]01 10 2021'!M121+'[3]01 10 2021'!M122+'[3]01 10 2021'!M124</f>
        <v>23248738.200000003</v>
      </c>
      <c r="F295" s="15">
        <f t="shared" si="37"/>
        <v>0.65429871412770924</v>
      </c>
      <c r="G295" s="457"/>
      <c r="H295" s="156" t="s">
        <v>33</v>
      </c>
      <c r="I295" s="137"/>
      <c r="J295" s="451"/>
      <c r="K295" s="451"/>
      <c r="L295" s="7">
        <f>'[3]01 10 2021'!H117+'[3]01 10 2021'!H118+'[3]01 10 2021'!H120</f>
        <v>20631088.260000002</v>
      </c>
    </row>
    <row r="296" spans="1:20" ht="12" customHeight="1" x14ac:dyDescent="0.25">
      <c r="A296" s="449"/>
      <c r="B296" s="450"/>
      <c r="C296" s="137" t="s">
        <v>34</v>
      </c>
      <c r="D296" s="15">
        <f>'[3]табл.8 11.10.21'!G319</f>
        <v>0</v>
      </c>
      <c r="E296" s="15">
        <v>0</v>
      </c>
      <c r="F296" s="15">
        <v>0</v>
      </c>
      <c r="G296" s="457"/>
      <c r="H296" s="156" t="s">
        <v>35</v>
      </c>
      <c r="I296" s="137"/>
      <c r="J296" s="451"/>
      <c r="K296" s="451"/>
    </row>
    <row r="297" spans="1:20" ht="12" customHeight="1" x14ac:dyDescent="0.25">
      <c r="A297" s="449"/>
      <c r="B297" s="450"/>
      <c r="C297" s="137" t="s">
        <v>36</v>
      </c>
      <c r="D297" s="15">
        <f>'[3]табл.8 11.10.21'!I319</f>
        <v>0</v>
      </c>
      <c r="E297" s="15">
        <v>0</v>
      </c>
      <c r="F297" s="15">
        <v>0</v>
      </c>
      <c r="G297" s="457"/>
      <c r="H297" s="156" t="s">
        <v>37</v>
      </c>
      <c r="I297" s="137"/>
      <c r="J297" s="451"/>
      <c r="K297" s="451"/>
    </row>
    <row r="298" spans="1:20" s="22" customFormat="1" ht="12" customHeight="1" x14ac:dyDescent="0.25">
      <c r="A298" s="458" t="s">
        <v>146</v>
      </c>
      <c r="B298" s="459" t="s">
        <v>147</v>
      </c>
      <c r="C298" s="101" t="s">
        <v>28</v>
      </c>
      <c r="D298" s="102">
        <f>D299+D300+D301+D302</f>
        <v>208230860.25</v>
      </c>
      <c r="E298" s="102">
        <f>E299+E300+E301+E302</f>
        <v>100962084.93000001</v>
      </c>
      <c r="F298" s="102">
        <f>E298/D298</f>
        <v>0.48485649441579354</v>
      </c>
      <c r="G298" s="460"/>
      <c r="H298" s="103" t="s">
        <v>39</v>
      </c>
      <c r="I298" s="101"/>
      <c r="J298" s="461"/>
      <c r="K298" s="461"/>
      <c r="L298" s="20"/>
      <c r="M298" s="20"/>
      <c r="N298" s="20"/>
      <c r="O298" s="20"/>
      <c r="P298" s="20"/>
      <c r="Q298" s="21"/>
      <c r="R298" s="21"/>
      <c r="S298" s="21"/>
      <c r="T298" s="21"/>
    </row>
    <row r="299" spans="1:20" ht="12" customHeight="1" x14ac:dyDescent="0.25">
      <c r="A299" s="458"/>
      <c r="B299" s="459"/>
      <c r="C299" s="140" t="s">
        <v>30</v>
      </c>
      <c r="D299" s="105">
        <f>D304+D319+D329+D359</f>
        <v>105706419.3</v>
      </c>
      <c r="E299" s="105">
        <f>E304+E319+E329+E359</f>
        <v>45497924.099999994</v>
      </c>
      <c r="F299" s="105">
        <f t="shared" ref="F299:F302" si="38">E299/D299</f>
        <v>0.43041779677423997</v>
      </c>
      <c r="G299" s="460"/>
      <c r="H299" s="139" t="s">
        <v>31</v>
      </c>
      <c r="I299" s="140"/>
      <c r="J299" s="461"/>
      <c r="K299" s="461"/>
    </row>
    <row r="300" spans="1:20" ht="12" customHeight="1" x14ac:dyDescent="0.25">
      <c r="A300" s="458"/>
      <c r="B300" s="459"/>
      <c r="C300" s="140" t="s">
        <v>32</v>
      </c>
      <c r="D300" s="105">
        <f t="shared" ref="D300:E302" si="39">D305+D320+D330+D360</f>
        <v>36196035.950000003</v>
      </c>
      <c r="E300" s="105">
        <f t="shared" si="39"/>
        <v>22198718.010000002</v>
      </c>
      <c r="F300" s="105">
        <f t="shared" si="38"/>
        <v>0.61329141237080687</v>
      </c>
      <c r="G300" s="460"/>
      <c r="H300" s="139" t="s">
        <v>33</v>
      </c>
      <c r="I300" s="140"/>
      <c r="J300" s="461"/>
      <c r="K300" s="461"/>
    </row>
    <row r="301" spans="1:20" ht="12" customHeight="1" x14ac:dyDescent="0.25">
      <c r="A301" s="458"/>
      <c r="B301" s="459"/>
      <c r="C301" s="140" t="s">
        <v>34</v>
      </c>
      <c r="D301" s="105">
        <f t="shared" si="39"/>
        <v>24929935</v>
      </c>
      <c r="E301" s="105">
        <f t="shared" si="39"/>
        <v>14736058.640000001</v>
      </c>
      <c r="F301" s="105">
        <f t="shared" si="38"/>
        <v>0.59109895954401814</v>
      </c>
      <c r="G301" s="460"/>
      <c r="H301" s="139" t="s">
        <v>35</v>
      </c>
      <c r="I301" s="140"/>
      <c r="J301" s="461"/>
      <c r="K301" s="461"/>
    </row>
    <row r="302" spans="1:20" ht="12" customHeight="1" x14ac:dyDescent="0.25">
      <c r="A302" s="458"/>
      <c r="B302" s="459"/>
      <c r="C302" s="140" t="s">
        <v>36</v>
      </c>
      <c r="D302" s="105">
        <f t="shared" si="39"/>
        <v>41398470</v>
      </c>
      <c r="E302" s="105">
        <f t="shared" si="39"/>
        <v>18529384.18</v>
      </c>
      <c r="F302" s="105">
        <f t="shared" si="38"/>
        <v>0.44758620741297928</v>
      </c>
      <c r="G302" s="460"/>
      <c r="H302" s="139" t="s">
        <v>37</v>
      </c>
      <c r="I302" s="140"/>
      <c r="J302" s="461"/>
      <c r="K302" s="461"/>
    </row>
    <row r="303" spans="1:20" s="22" customFormat="1" ht="12" customHeight="1" x14ac:dyDescent="0.25">
      <c r="A303" s="453" t="s">
        <v>148</v>
      </c>
      <c r="B303" s="454" t="s">
        <v>149</v>
      </c>
      <c r="C303" s="107" t="s">
        <v>28</v>
      </c>
      <c r="D303" s="108">
        <f>D304+D305+D306+D307</f>
        <v>21690508.59</v>
      </c>
      <c r="E303" s="108">
        <f>E304+E305+E306+E307</f>
        <v>15433136.390000001</v>
      </c>
      <c r="F303" s="108">
        <f>E303/D303</f>
        <v>0.71151565330815514</v>
      </c>
      <c r="G303" s="455"/>
      <c r="H303" s="109" t="s">
        <v>39</v>
      </c>
      <c r="I303" s="107"/>
      <c r="J303" s="456"/>
      <c r="K303" s="456"/>
      <c r="L303" s="21">
        <f>'[3]01 10 2021'!H82+'[3]01 10 2021'!H89+'[3]01 10 2021'!H90+'[3]01 10 2021'!H92+'[3]01 10 2021'!H93+'[3]01 10 2021'!H91</f>
        <v>24717167.300000001</v>
      </c>
      <c r="M303" s="21">
        <f>'[3]01 10 2021'!I82+'[3]01 10 2021'!I89+'[3]01 10 2021'!I90+'[3]01 10 2021'!I92+'[3]01 10 2021'!I93+'[3]01 10 2021'!I91</f>
        <v>0</v>
      </c>
      <c r="N303" s="21">
        <f>'[3]01 10 2021'!J82+'[3]01 10 2021'!J89+'[3]01 10 2021'!J90+'[3]01 10 2021'!J92+'[3]01 10 2021'!J93+'[3]01 10 2021'!J91</f>
        <v>24717167.300000001</v>
      </c>
      <c r="O303" s="21">
        <f>'[3]01 10 2021'!K82+'[3]01 10 2021'!K89+'[3]01 10 2021'!K90+'[3]01 10 2021'!K92+'[3]01 10 2021'!K93+'[3]01 10 2021'!K91</f>
        <v>18472672.490000002</v>
      </c>
      <c r="P303" s="21">
        <f>'[3]01 10 2021'!L82+'[3]01 10 2021'!L89+'[3]01 10 2021'!L90+'[3]01 10 2021'!L92+'[3]01 10 2021'!L93+'[3]01 10 2021'!L91</f>
        <v>6244494.8100000005</v>
      </c>
      <c r="Q303" s="21">
        <f>'[3]01 10 2021'!M82+'[3]01 10 2021'!M89+'[3]01 10 2021'!M90+'[3]01 10 2021'!M92+'[3]01 10 2021'!M93+'[3]01 10 2021'!M91</f>
        <v>18472672.490000002</v>
      </c>
      <c r="R303" s="21"/>
      <c r="S303" s="21"/>
      <c r="T303" s="21"/>
    </row>
    <row r="304" spans="1:20" ht="12" customHeight="1" x14ac:dyDescent="0.25">
      <c r="A304" s="453"/>
      <c r="B304" s="454"/>
      <c r="C304" s="138" t="s">
        <v>30</v>
      </c>
      <c r="D304" s="111">
        <f>D309+D314</f>
        <v>21509574.870000001</v>
      </c>
      <c r="E304" s="111">
        <f>E309+E314</f>
        <v>15267263.33</v>
      </c>
      <c r="F304" s="111">
        <f t="shared" ref="F304:F315" si="40">E304/D304</f>
        <v>0.70978917167227118</v>
      </c>
      <c r="G304" s="455"/>
      <c r="H304" s="112" t="s">
        <v>31</v>
      </c>
      <c r="I304" s="138"/>
      <c r="J304" s="456"/>
      <c r="K304" s="456"/>
    </row>
    <row r="305" spans="1:20" ht="12" customHeight="1" x14ac:dyDescent="0.25">
      <c r="A305" s="453"/>
      <c r="B305" s="454"/>
      <c r="C305" s="138" t="s">
        <v>32</v>
      </c>
      <c r="D305" s="111">
        <f t="shared" ref="D305:E307" si="41">D310+D315</f>
        <v>30933.72</v>
      </c>
      <c r="E305" s="111">
        <f t="shared" si="41"/>
        <v>23201.24</v>
      </c>
      <c r="F305" s="111">
        <f t="shared" si="40"/>
        <v>0.75003071082301132</v>
      </c>
      <c r="G305" s="455"/>
      <c r="H305" s="112" t="s">
        <v>33</v>
      </c>
      <c r="I305" s="138"/>
      <c r="J305" s="456"/>
      <c r="K305" s="456"/>
    </row>
    <row r="306" spans="1:20" ht="12" customHeight="1" x14ac:dyDescent="0.25">
      <c r="A306" s="453"/>
      <c r="B306" s="454"/>
      <c r="C306" s="138" t="s">
        <v>34</v>
      </c>
      <c r="D306" s="111">
        <f t="shared" si="41"/>
        <v>0</v>
      </c>
      <c r="E306" s="111">
        <f t="shared" si="41"/>
        <v>0</v>
      </c>
      <c r="F306" s="111">
        <v>0</v>
      </c>
      <c r="G306" s="455"/>
      <c r="H306" s="112" t="s">
        <v>35</v>
      </c>
      <c r="I306" s="138"/>
      <c r="J306" s="456"/>
      <c r="K306" s="456"/>
    </row>
    <row r="307" spans="1:20" ht="12" customHeight="1" x14ac:dyDescent="0.25">
      <c r="A307" s="453"/>
      <c r="B307" s="454"/>
      <c r="C307" s="138" t="s">
        <v>36</v>
      </c>
      <c r="D307" s="111">
        <f t="shared" si="41"/>
        <v>150000</v>
      </c>
      <c r="E307" s="111">
        <f t="shared" si="41"/>
        <v>142671.82</v>
      </c>
      <c r="F307" s="111">
        <f t="shared" si="40"/>
        <v>0.95114546666666666</v>
      </c>
      <c r="G307" s="455"/>
      <c r="H307" s="112" t="s">
        <v>37</v>
      </c>
      <c r="I307" s="138"/>
      <c r="J307" s="456"/>
      <c r="K307" s="456"/>
    </row>
    <row r="308" spans="1:20" s="22" customFormat="1" ht="12" customHeight="1" x14ac:dyDescent="0.25">
      <c r="A308" s="449" t="s">
        <v>150</v>
      </c>
      <c r="B308" s="450" t="s">
        <v>151</v>
      </c>
      <c r="C308" s="17" t="s">
        <v>28</v>
      </c>
      <c r="D308" s="18">
        <f>D309+D310+D311+D312</f>
        <v>21642797.300000001</v>
      </c>
      <c r="E308" s="18">
        <f>E309+E310+E311+E312</f>
        <v>15397914.65</v>
      </c>
      <c r="F308" s="18">
        <f t="shared" si="40"/>
        <v>0.71145676949993886</v>
      </c>
      <c r="G308" s="450" t="s">
        <v>48</v>
      </c>
      <c r="H308" s="450" t="s">
        <v>49</v>
      </c>
      <c r="I308" s="449" t="s">
        <v>50</v>
      </c>
      <c r="J308" s="451"/>
      <c r="K308" s="451"/>
      <c r="L308" s="20"/>
      <c r="M308" s="20"/>
      <c r="N308" s="20"/>
      <c r="O308" s="20"/>
      <c r="P308" s="20"/>
      <c r="Q308" s="21"/>
      <c r="R308" s="21"/>
      <c r="S308" s="21"/>
      <c r="T308" s="21"/>
    </row>
    <row r="309" spans="1:20" ht="12" customHeight="1" x14ac:dyDescent="0.25">
      <c r="A309" s="449"/>
      <c r="B309" s="450"/>
      <c r="C309" s="137" t="s">
        <v>30</v>
      </c>
      <c r="D309" s="15">
        <f>'[3]табл.8 11.10.21'!H337</f>
        <v>21492797.300000001</v>
      </c>
      <c r="E309" s="33">
        <f>'[3]01 10 2021'!M86+'[3]01 10 2021'!M93+'[3]01 10 2021'!M94</f>
        <v>15255242.83</v>
      </c>
      <c r="F309" s="15">
        <f t="shared" si="40"/>
        <v>0.7097839623695702</v>
      </c>
      <c r="G309" s="450"/>
      <c r="H309" s="450"/>
      <c r="I309" s="449"/>
      <c r="J309" s="451"/>
      <c r="K309" s="451"/>
    </row>
    <row r="310" spans="1:20" ht="12" customHeight="1" x14ac:dyDescent="0.25">
      <c r="A310" s="449"/>
      <c r="B310" s="450"/>
      <c r="C310" s="137" t="s">
        <v>32</v>
      </c>
      <c r="D310" s="15">
        <f>'[3]табл.8 11.10.21'!F337</f>
        <v>0</v>
      </c>
      <c r="E310" s="15">
        <v>0</v>
      </c>
      <c r="F310" s="15">
        <v>0</v>
      </c>
      <c r="G310" s="450"/>
      <c r="H310" s="450"/>
      <c r="I310" s="449"/>
      <c r="J310" s="451"/>
      <c r="K310" s="451"/>
    </row>
    <row r="311" spans="1:20" ht="12" customHeight="1" x14ac:dyDescent="0.25">
      <c r="A311" s="449"/>
      <c r="B311" s="450"/>
      <c r="C311" s="137" t="s">
        <v>34</v>
      </c>
      <c r="D311" s="15">
        <f>'[3]табл.8 11.10.21'!G337</f>
        <v>0</v>
      </c>
      <c r="E311" s="15">
        <v>0</v>
      </c>
      <c r="F311" s="15">
        <v>0</v>
      </c>
      <c r="G311" s="450"/>
      <c r="H311" s="450"/>
      <c r="I311" s="449"/>
      <c r="J311" s="451"/>
      <c r="K311" s="451"/>
    </row>
    <row r="312" spans="1:20" ht="12" customHeight="1" x14ac:dyDescent="0.25">
      <c r="A312" s="449"/>
      <c r="B312" s="450"/>
      <c r="C312" s="137" t="s">
        <v>36</v>
      </c>
      <c r="D312" s="15">
        <f>'[3]табл.8 11.10.21'!I337</f>
        <v>150000</v>
      </c>
      <c r="E312" s="33">
        <f>[5]имц!$E$136</f>
        <v>142671.82</v>
      </c>
      <c r="F312" s="15">
        <f t="shared" si="40"/>
        <v>0.95114546666666666</v>
      </c>
      <c r="G312" s="450"/>
      <c r="H312" s="450"/>
      <c r="I312" s="449"/>
      <c r="J312" s="451"/>
      <c r="K312" s="451"/>
    </row>
    <row r="313" spans="1:20" s="22" customFormat="1" ht="12" customHeight="1" x14ac:dyDescent="0.25">
      <c r="A313" s="449" t="s">
        <v>152</v>
      </c>
      <c r="B313" s="450" t="s">
        <v>89</v>
      </c>
      <c r="C313" s="17" t="s">
        <v>28</v>
      </c>
      <c r="D313" s="18">
        <f>D314+D315+D316+D317</f>
        <v>47711.29</v>
      </c>
      <c r="E313" s="18">
        <f>E314+E315+E316+E317</f>
        <v>35221.740000000005</v>
      </c>
      <c r="F313" s="18">
        <f t="shared" si="40"/>
        <v>0.73822652877337847</v>
      </c>
      <c r="G313" s="450" t="s">
        <v>48</v>
      </c>
      <c r="H313" s="450" t="s">
        <v>49</v>
      </c>
      <c r="I313" s="449" t="s">
        <v>50</v>
      </c>
      <c r="J313" s="451"/>
      <c r="K313" s="451"/>
      <c r="L313" s="20"/>
      <c r="M313" s="20"/>
      <c r="N313" s="20"/>
      <c r="O313" s="20"/>
      <c r="P313" s="20"/>
      <c r="Q313" s="21"/>
      <c r="R313" s="21"/>
      <c r="S313" s="21"/>
      <c r="T313" s="21"/>
    </row>
    <row r="314" spans="1:20" ht="12" customHeight="1" x14ac:dyDescent="0.25">
      <c r="A314" s="449"/>
      <c r="B314" s="450"/>
      <c r="C314" s="137" t="s">
        <v>30</v>
      </c>
      <c r="D314" s="15">
        <f>'[3]табл.8 11.10.21'!H343</f>
        <v>16777.57</v>
      </c>
      <c r="E314" s="33">
        <f>'[3]01 10 2021'!M96+'[3]01 10 2021'!M97</f>
        <v>12020.5</v>
      </c>
      <c r="F314" s="15">
        <f t="shared" si="40"/>
        <v>0.71646251513180992</v>
      </c>
      <c r="G314" s="450"/>
      <c r="H314" s="450"/>
      <c r="I314" s="449"/>
      <c r="J314" s="451"/>
      <c r="K314" s="451"/>
    </row>
    <row r="315" spans="1:20" ht="12" customHeight="1" x14ac:dyDescent="0.25">
      <c r="A315" s="449"/>
      <c r="B315" s="450"/>
      <c r="C315" s="137" t="s">
        <v>32</v>
      </c>
      <c r="D315" s="15">
        <f>'[3]табл.8 11.10.21'!F343</f>
        <v>30933.72</v>
      </c>
      <c r="E315" s="33">
        <f>'[3]01 10 2021'!M95</f>
        <v>23201.24</v>
      </c>
      <c r="F315" s="15">
        <f t="shared" si="40"/>
        <v>0.75003071082301132</v>
      </c>
      <c r="G315" s="450"/>
      <c r="H315" s="450"/>
      <c r="I315" s="449"/>
      <c r="J315" s="451"/>
      <c r="K315" s="451"/>
    </row>
    <row r="316" spans="1:20" ht="12" customHeight="1" x14ac:dyDescent="0.25">
      <c r="A316" s="449"/>
      <c r="B316" s="450"/>
      <c r="C316" s="137" t="s">
        <v>34</v>
      </c>
      <c r="D316" s="15">
        <f>'[3]табл.8 11.10.21'!G343</f>
        <v>0</v>
      </c>
      <c r="E316" s="15">
        <v>0</v>
      </c>
      <c r="F316" s="15">
        <v>0</v>
      </c>
      <c r="G316" s="450"/>
      <c r="H316" s="450"/>
      <c r="I316" s="449"/>
      <c r="J316" s="451"/>
      <c r="K316" s="451"/>
    </row>
    <row r="317" spans="1:20" ht="12" customHeight="1" x14ac:dyDescent="0.25">
      <c r="A317" s="449"/>
      <c r="B317" s="450"/>
      <c r="C317" s="137" t="s">
        <v>36</v>
      </c>
      <c r="D317" s="15">
        <f>'[3]табл.8 11.10.21'!I343</f>
        <v>0</v>
      </c>
      <c r="E317" s="15">
        <v>0</v>
      </c>
      <c r="F317" s="15">
        <v>0</v>
      </c>
      <c r="G317" s="450"/>
      <c r="H317" s="450"/>
      <c r="I317" s="449"/>
      <c r="J317" s="451"/>
      <c r="K317" s="451"/>
    </row>
    <row r="318" spans="1:20" s="118" customFormat="1" ht="12" customHeight="1" x14ac:dyDescent="0.25">
      <c r="A318" s="443" t="s">
        <v>153</v>
      </c>
      <c r="B318" s="444" t="s">
        <v>154</v>
      </c>
      <c r="C318" s="113" t="s">
        <v>28</v>
      </c>
      <c r="D318" s="114">
        <f>D319+D320+D321+D322</f>
        <v>52814449.350000001</v>
      </c>
      <c r="E318" s="114">
        <f>E319+E320+E321+E322</f>
        <v>0</v>
      </c>
      <c r="F318" s="114">
        <f>E318/D318</f>
        <v>0</v>
      </c>
      <c r="G318" s="445"/>
      <c r="H318" s="115" t="s">
        <v>39</v>
      </c>
      <c r="I318" s="113"/>
      <c r="J318" s="446"/>
      <c r="K318" s="446"/>
      <c r="L318" s="116"/>
      <c r="M318" s="116"/>
      <c r="N318" s="116"/>
      <c r="O318" s="116"/>
      <c r="P318" s="116"/>
      <c r="Q318" s="117"/>
      <c r="R318" s="117"/>
      <c r="S318" s="117"/>
      <c r="T318" s="117"/>
    </row>
    <row r="319" spans="1:20" s="60" customFormat="1" ht="12" customHeight="1" x14ac:dyDescent="0.25">
      <c r="A319" s="443"/>
      <c r="B319" s="444"/>
      <c r="C319" s="136" t="s">
        <v>30</v>
      </c>
      <c r="D319" s="120">
        <f>D324</f>
        <v>50084449.350000001</v>
      </c>
      <c r="E319" s="120">
        <f>E324</f>
        <v>0</v>
      </c>
      <c r="F319" s="120">
        <f t="shared" ref="F319:F327" si="42">E319/D319</f>
        <v>0</v>
      </c>
      <c r="G319" s="445"/>
      <c r="H319" s="121" t="s">
        <v>31</v>
      </c>
      <c r="I319" s="136"/>
      <c r="J319" s="446"/>
      <c r="K319" s="446"/>
      <c r="L319" s="58"/>
      <c r="M319" s="58"/>
      <c r="N319" s="58"/>
      <c r="O319" s="58"/>
      <c r="P319" s="58"/>
      <c r="Q319" s="59"/>
      <c r="R319" s="59"/>
      <c r="S319" s="59"/>
      <c r="T319" s="59"/>
    </row>
    <row r="320" spans="1:20" s="60" customFormat="1" ht="12" customHeight="1" x14ac:dyDescent="0.25">
      <c r="A320" s="443"/>
      <c r="B320" s="444"/>
      <c r="C320" s="136" t="s">
        <v>32</v>
      </c>
      <c r="D320" s="120">
        <f t="shared" ref="D320:E322" si="43">D325</f>
        <v>0</v>
      </c>
      <c r="E320" s="120">
        <f t="shared" si="43"/>
        <v>0</v>
      </c>
      <c r="F320" s="120">
        <v>0</v>
      </c>
      <c r="G320" s="445"/>
      <c r="H320" s="121" t="s">
        <v>33</v>
      </c>
      <c r="I320" s="136"/>
      <c r="J320" s="446"/>
      <c r="K320" s="446"/>
      <c r="L320" s="58"/>
      <c r="M320" s="58"/>
      <c r="N320" s="58"/>
      <c r="O320" s="58"/>
      <c r="P320" s="58"/>
      <c r="Q320" s="59"/>
      <c r="R320" s="59"/>
      <c r="S320" s="59"/>
      <c r="T320" s="59"/>
    </row>
    <row r="321" spans="1:20" s="60" customFormat="1" ht="12" customHeight="1" x14ac:dyDescent="0.25">
      <c r="A321" s="443"/>
      <c r="B321" s="444"/>
      <c r="C321" s="136" t="s">
        <v>34</v>
      </c>
      <c r="D321" s="120">
        <f t="shared" si="43"/>
        <v>0</v>
      </c>
      <c r="E321" s="120">
        <f t="shared" si="43"/>
        <v>0</v>
      </c>
      <c r="F321" s="120">
        <v>0</v>
      </c>
      <c r="G321" s="445"/>
      <c r="H321" s="121" t="s">
        <v>35</v>
      </c>
      <c r="I321" s="136"/>
      <c r="J321" s="446"/>
      <c r="K321" s="446"/>
      <c r="L321" s="58"/>
      <c r="M321" s="58"/>
      <c r="N321" s="58"/>
      <c r="O321" s="58"/>
      <c r="P321" s="58"/>
      <c r="Q321" s="59"/>
      <c r="R321" s="59"/>
      <c r="S321" s="59"/>
      <c r="T321" s="59"/>
    </row>
    <row r="322" spans="1:20" s="60" customFormat="1" ht="12" customHeight="1" x14ac:dyDescent="0.25">
      <c r="A322" s="443"/>
      <c r="B322" s="444"/>
      <c r="C322" s="136" t="s">
        <v>36</v>
      </c>
      <c r="D322" s="120">
        <f t="shared" si="43"/>
        <v>2730000</v>
      </c>
      <c r="E322" s="120">
        <f t="shared" si="43"/>
        <v>0</v>
      </c>
      <c r="F322" s="120">
        <f t="shared" si="42"/>
        <v>0</v>
      </c>
      <c r="G322" s="445"/>
      <c r="H322" s="121" t="s">
        <v>37</v>
      </c>
      <c r="I322" s="136"/>
      <c r="J322" s="446"/>
      <c r="K322" s="446"/>
      <c r="L322" s="58"/>
      <c r="M322" s="58"/>
      <c r="N322" s="58"/>
      <c r="O322" s="58"/>
      <c r="P322" s="58"/>
      <c r="Q322" s="59"/>
      <c r="R322" s="59"/>
      <c r="S322" s="59"/>
      <c r="T322" s="59"/>
    </row>
    <row r="323" spans="1:20" s="118" customFormat="1" ht="12" customHeight="1" x14ac:dyDescent="0.25">
      <c r="A323" s="447" t="s">
        <v>155</v>
      </c>
      <c r="B323" s="448" t="s">
        <v>156</v>
      </c>
      <c r="C323" s="122" t="s">
        <v>28</v>
      </c>
      <c r="D323" s="123">
        <f>D324+D325+D326+D327</f>
        <v>52814449.350000001</v>
      </c>
      <c r="E323" s="123">
        <f>E324+E325+E326+E327</f>
        <v>0</v>
      </c>
      <c r="F323" s="123">
        <f t="shared" si="42"/>
        <v>0</v>
      </c>
      <c r="G323" s="448" t="s">
        <v>48</v>
      </c>
      <c r="H323" s="448" t="s">
        <v>49</v>
      </c>
      <c r="I323" s="447" t="s">
        <v>50</v>
      </c>
      <c r="J323" s="452"/>
      <c r="K323" s="452"/>
      <c r="L323" s="116"/>
      <c r="M323" s="116"/>
      <c r="N323" s="116"/>
      <c r="O323" s="116"/>
      <c r="P323" s="116"/>
      <c r="Q323" s="117"/>
      <c r="R323" s="117"/>
      <c r="S323" s="117"/>
      <c r="T323" s="117"/>
    </row>
    <row r="324" spans="1:20" s="60" customFormat="1" ht="12" customHeight="1" x14ac:dyDescent="0.25">
      <c r="A324" s="447"/>
      <c r="B324" s="448"/>
      <c r="C324" s="135" t="s">
        <v>30</v>
      </c>
      <c r="D324" s="125">
        <f>'[3]табл.8 11.10.21'!H355</f>
        <v>50084449.350000001</v>
      </c>
      <c r="E324" s="125"/>
      <c r="F324" s="125">
        <f t="shared" si="42"/>
        <v>0</v>
      </c>
      <c r="G324" s="448"/>
      <c r="H324" s="448"/>
      <c r="I324" s="447"/>
      <c r="J324" s="452"/>
      <c r="K324" s="452"/>
      <c r="L324" s="58"/>
      <c r="M324" s="58"/>
      <c r="N324" s="58"/>
      <c r="O324" s="58"/>
      <c r="P324" s="58"/>
      <c r="Q324" s="59"/>
      <c r="R324" s="59"/>
      <c r="S324" s="59"/>
      <c r="T324" s="59"/>
    </row>
    <row r="325" spans="1:20" s="60" customFormat="1" ht="12" customHeight="1" x14ac:dyDescent="0.25">
      <c r="A325" s="447"/>
      <c r="B325" s="448"/>
      <c r="C325" s="135" t="s">
        <v>32</v>
      </c>
      <c r="D325" s="125">
        <f>'[3]табл.8 11.10.21'!F355</f>
        <v>0</v>
      </c>
      <c r="E325" s="125">
        <v>0</v>
      </c>
      <c r="F325" s="125">
        <v>0</v>
      </c>
      <c r="G325" s="448"/>
      <c r="H325" s="448"/>
      <c r="I325" s="447"/>
      <c r="J325" s="452"/>
      <c r="K325" s="452"/>
      <c r="L325" s="58"/>
      <c r="M325" s="58"/>
      <c r="N325" s="58"/>
      <c r="O325" s="58"/>
      <c r="P325" s="58"/>
      <c r="Q325" s="59"/>
      <c r="R325" s="59"/>
      <c r="S325" s="59"/>
      <c r="T325" s="59"/>
    </row>
    <row r="326" spans="1:20" s="60" customFormat="1" ht="12" customHeight="1" x14ac:dyDescent="0.25">
      <c r="A326" s="447"/>
      <c r="B326" s="448"/>
      <c r="C326" s="135" t="s">
        <v>34</v>
      </c>
      <c r="D326" s="125">
        <f>'[3]табл.8 11.10.21'!G355</f>
        <v>0</v>
      </c>
      <c r="E326" s="125">
        <v>0</v>
      </c>
      <c r="F326" s="125">
        <v>0</v>
      </c>
      <c r="G326" s="448"/>
      <c r="H326" s="448"/>
      <c r="I326" s="447"/>
      <c r="J326" s="452"/>
      <c r="K326" s="452"/>
      <c r="L326" s="58"/>
      <c r="M326" s="58"/>
      <c r="N326" s="58"/>
      <c r="O326" s="58"/>
      <c r="P326" s="58"/>
      <c r="Q326" s="59"/>
      <c r="R326" s="59"/>
      <c r="S326" s="59"/>
      <c r="T326" s="59"/>
    </row>
    <row r="327" spans="1:20" s="60" customFormat="1" ht="12" customHeight="1" x14ac:dyDescent="0.25">
      <c r="A327" s="447"/>
      <c r="B327" s="448"/>
      <c r="C327" s="135" t="s">
        <v>36</v>
      </c>
      <c r="D327" s="125">
        <f>'[3]табл.8 11.10.21'!I355</f>
        <v>2730000</v>
      </c>
      <c r="E327" s="125"/>
      <c r="F327" s="125">
        <f t="shared" si="42"/>
        <v>0</v>
      </c>
      <c r="G327" s="448"/>
      <c r="H327" s="448"/>
      <c r="I327" s="447"/>
      <c r="J327" s="452"/>
      <c r="K327" s="452"/>
      <c r="L327" s="58"/>
      <c r="M327" s="58"/>
      <c r="N327" s="58"/>
      <c r="O327" s="58"/>
      <c r="P327" s="58"/>
      <c r="Q327" s="59"/>
      <c r="R327" s="59"/>
      <c r="S327" s="59"/>
      <c r="T327" s="59"/>
    </row>
    <row r="328" spans="1:20" s="70" customFormat="1" ht="12" customHeight="1" x14ac:dyDescent="0.25">
      <c r="A328" s="436" t="s">
        <v>157</v>
      </c>
      <c r="B328" s="437" t="s">
        <v>158</v>
      </c>
      <c r="C328" s="126" t="s">
        <v>28</v>
      </c>
      <c r="D328" s="127">
        <f>D329+D330+D331+D332</f>
        <v>119066318.19</v>
      </c>
      <c r="E328" s="127">
        <f>E329+E330+E331+E332</f>
        <v>72335536.420000002</v>
      </c>
      <c r="F328" s="127">
        <f>E328/D328</f>
        <v>0.60752308057909898</v>
      </c>
      <c r="G328" s="438"/>
      <c r="H328" s="128" t="s">
        <v>39</v>
      </c>
      <c r="I328" s="126"/>
      <c r="J328" s="439"/>
      <c r="K328" s="439"/>
      <c r="L328" s="68"/>
      <c r="M328" s="68"/>
      <c r="N328" s="68"/>
      <c r="O328" s="68"/>
      <c r="P328" s="68"/>
      <c r="Q328" s="69"/>
      <c r="R328" s="69"/>
      <c r="S328" s="69"/>
      <c r="T328" s="69"/>
    </row>
    <row r="329" spans="1:20" s="76" customFormat="1" ht="12" customHeight="1" x14ac:dyDescent="0.25">
      <c r="A329" s="436"/>
      <c r="B329" s="437"/>
      <c r="C329" s="134" t="s">
        <v>30</v>
      </c>
      <c r="D329" s="130">
        <f>D334+D339+D344+D349+D354</f>
        <v>27032180.959999997</v>
      </c>
      <c r="E329" s="130">
        <f>E334+E339+E344+E349+E354</f>
        <v>24590446.649999999</v>
      </c>
      <c r="F329" s="130">
        <f t="shared" ref="F329:F350" si="44">E329/D329</f>
        <v>0.90967305547365651</v>
      </c>
      <c r="G329" s="438"/>
      <c r="H329" s="131" t="s">
        <v>31</v>
      </c>
      <c r="I329" s="134"/>
      <c r="J329" s="439"/>
      <c r="K329" s="439"/>
      <c r="L329" s="74"/>
      <c r="M329" s="74"/>
      <c r="N329" s="74"/>
      <c r="O329" s="74"/>
      <c r="P329" s="74"/>
      <c r="Q329" s="75"/>
      <c r="R329" s="75"/>
      <c r="S329" s="75"/>
      <c r="T329" s="75"/>
    </row>
    <row r="330" spans="1:20" s="76" customFormat="1" ht="12" customHeight="1" x14ac:dyDescent="0.25">
      <c r="A330" s="436"/>
      <c r="B330" s="437"/>
      <c r="C330" s="134" t="s">
        <v>32</v>
      </c>
      <c r="D330" s="130">
        <f t="shared" ref="D330:E332" si="45">D335+D340+D345+D350+D355</f>
        <v>32904202.23</v>
      </c>
      <c r="E330" s="130">
        <f t="shared" si="45"/>
        <v>18914616.770000003</v>
      </c>
      <c r="F330" s="130">
        <f t="shared" si="44"/>
        <v>0.57483894117192225</v>
      </c>
      <c r="G330" s="438"/>
      <c r="H330" s="131" t="s">
        <v>33</v>
      </c>
      <c r="I330" s="134"/>
      <c r="J330" s="439"/>
      <c r="K330" s="439"/>
      <c r="L330" s="74"/>
      <c r="M330" s="74"/>
      <c r="N330" s="74"/>
      <c r="O330" s="74"/>
      <c r="P330" s="74"/>
      <c r="Q330" s="75"/>
      <c r="R330" s="75"/>
      <c r="S330" s="75"/>
      <c r="T330" s="75"/>
    </row>
    <row r="331" spans="1:20" s="76" customFormat="1" ht="12" customHeight="1" x14ac:dyDescent="0.25">
      <c r="A331" s="436"/>
      <c r="B331" s="437"/>
      <c r="C331" s="134" t="s">
        <v>34</v>
      </c>
      <c r="D331" s="130">
        <f t="shared" si="45"/>
        <v>24929935</v>
      </c>
      <c r="E331" s="130">
        <f t="shared" si="45"/>
        <v>14736058.640000001</v>
      </c>
      <c r="F331" s="130">
        <f t="shared" si="44"/>
        <v>0.59109895954401814</v>
      </c>
      <c r="G331" s="438"/>
      <c r="H331" s="131" t="s">
        <v>35</v>
      </c>
      <c r="I331" s="134"/>
      <c r="J331" s="439"/>
      <c r="K331" s="439"/>
      <c r="L331" s="74"/>
      <c r="M331" s="74"/>
      <c r="N331" s="74"/>
      <c r="O331" s="74"/>
      <c r="P331" s="74"/>
      <c r="Q331" s="75"/>
      <c r="R331" s="75"/>
      <c r="S331" s="75"/>
      <c r="T331" s="75"/>
    </row>
    <row r="332" spans="1:20" s="76" customFormat="1" ht="12" customHeight="1" x14ac:dyDescent="0.25">
      <c r="A332" s="436"/>
      <c r="B332" s="437"/>
      <c r="C332" s="134" t="s">
        <v>36</v>
      </c>
      <c r="D332" s="130">
        <f t="shared" si="45"/>
        <v>34200000</v>
      </c>
      <c r="E332" s="130">
        <f t="shared" si="45"/>
        <v>14094414.359999999</v>
      </c>
      <c r="F332" s="130">
        <f t="shared" si="44"/>
        <v>0.41211737894736838</v>
      </c>
      <c r="G332" s="438"/>
      <c r="H332" s="131" t="s">
        <v>37</v>
      </c>
      <c r="I332" s="134"/>
      <c r="J332" s="439"/>
      <c r="K332" s="439"/>
      <c r="L332" s="74"/>
      <c r="M332" s="74"/>
      <c r="N332" s="74"/>
      <c r="O332" s="74"/>
      <c r="P332" s="74"/>
      <c r="Q332" s="75"/>
      <c r="R332" s="75"/>
      <c r="S332" s="75"/>
      <c r="T332" s="75"/>
    </row>
    <row r="333" spans="1:20" s="70" customFormat="1" ht="12" customHeight="1" x14ac:dyDescent="0.25">
      <c r="A333" s="440" t="s">
        <v>159</v>
      </c>
      <c r="B333" s="441" t="s">
        <v>160</v>
      </c>
      <c r="C333" s="77" t="s">
        <v>28</v>
      </c>
      <c r="D333" s="78">
        <f>D334+D335+D336+D337</f>
        <v>6425563.1000000006</v>
      </c>
      <c r="E333" s="78">
        <f>E334+E335+E336+E337</f>
        <v>4223644.2699999996</v>
      </c>
      <c r="F333" s="78">
        <f t="shared" si="44"/>
        <v>0.6573189313166965</v>
      </c>
      <c r="G333" s="441" t="s">
        <v>48</v>
      </c>
      <c r="H333" s="441" t="s">
        <v>49</v>
      </c>
      <c r="I333" s="440" t="s">
        <v>50</v>
      </c>
      <c r="J333" s="434"/>
      <c r="K333" s="434"/>
      <c r="L333" s="68"/>
      <c r="M333" s="68"/>
      <c r="N333" s="68"/>
      <c r="O333" s="68"/>
      <c r="P333" s="68"/>
      <c r="Q333" s="69"/>
      <c r="R333" s="69"/>
      <c r="S333" s="69"/>
      <c r="T333" s="69"/>
    </row>
    <row r="334" spans="1:20" s="76" customFormat="1" ht="12" customHeight="1" x14ac:dyDescent="0.25">
      <c r="A334" s="440"/>
      <c r="B334" s="441"/>
      <c r="C334" s="133" t="s">
        <v>30</v>
      </c>
      <c r="D334" s="80">
        <f>'[3]табл.8 11.10.21'!H367</f>
        <v>4450063.1000000006</v>
      </c>
      <c r="E334" s="132">
        <f>'[3]01 10 2021'!M55+'[3]01 10 2021'!M107</f>
        <v>3006790.45</v>
      </c>
      <c r="F334" s="80">
        <f t="shared" si="44"/>
        <v>0.67567366629025993</v>
      </c>
      <c r="G334" s="441"/>
      <c r="H334" s="441"/>
      <c r="I334" s="440"/>
      <c r="J334" s="434"/>
      <c r="K334" s="434"/>
      <c r="L334" s="74"/>
      <c r="M334" s="74"/>
      <c r="N334" s="74"/>
      <c r="O334" s="74"/>
      <c r="P334" s="74"/>
      <c r="Q334" s="75"/>
      <c r="R334" s="75"/>
      <c r="S334" s="75"/>
      <c r="T334" s="75"/>
    </row>
    <row r="335" spans="1:20" s="76" customFormat="1" ht="12" customHeight="1" x14ac:dyDescent="0.25">
      <c r="A335" s="440"/>
      <c r="B335" s="441"/>
      <c r="C335" s="133" t="s">
        <v>32</v>
      </c>
      <c r="D335" s="80">
        <f>'[3]табл.8 11.10.21'!F367</f>
        <v>1975500</v>
      </c>
      <c r="E335" s="132">
        <f>'[3]01 10 2021'!M48+'[3]01 10 2021'!M100</f>
        <v>1216853.8199999998</v>
      </c>
      <c r="F335" s="80">
        <f t="shared" si="44"/>
        <v>0.61597257403189054</v>
      </c>
      <c r="G335" s="441"/>
      <c r="H335" s="441"/>
      <c r="I335" s="440"/>
      <c r="J335" s="434"/>
      <c r="K335" s="434"/>
      <c r="L335" s="74"/>
      <c r="M335" s="74"/>
      <c r="N335" s="74"/>
      <c r="O335" s="74"/>
      <c r="P335" s="74"/>
      <c r="Q335" s="75"/>
      <c r="R335" s="75"/>
      <c r="S335" s="75"/>
      <c r="T335" s="75"/>
    </row>
    <row r="336" spans="1:20" s="76" customFormat="1" ht="12" customHeight="1" x14ac:dyDescent="0.25">
      <c r="A336" s="440"/>
      <c r="B336" s="441"/>
      <c r="C336" s="133" t="s">
        <v>34</v>
      </c>
      <c r="D336" s="80">
        <f>'[3]табл.8 11.10.21'!G367</f>
        <v>0</v>
      </c>
      <c r="E336" s="80">
        <v>0</v>
      </c>
      <c r="F336" s="80">
        <v>0</v>
      </c>
      <c r="G336" s="441"/>
      <c r="H336" s="441"/>
      <c r="I336" s="440"/>
      <c r="J336" s="434"/>
      <c r="K336" s="434"/>
      <c r="L336" s="74"/>
      <c r="M336" s="74"/>
      <c r="N336" s="74"/>
      <c r="O336" s="74"/>
      <c r="P336" s="74"/>
      <c r="Q336" s="75"/>
      <c r="R336" s="75"/>
      <c r="S336" s="75"/>
      <c r="T336" s="75"/>
    </row>
    <row r="337" spans="1:20" s="76" customFormat="1" ht="12" customHeight="1" x14ac:dyDescent="0.25">
      <c r="A337" s="440"/>
      <c r="B337" s="441"/>
      <c r="C337" s="133" t="s">
        <v>36</v>
      </c>
      <c r="D337" s="80">
        <f>'[3]табл.8 11.10.21'!I367</f>
        <v>0</v>
      </c>
      <c r="E337" s="80">
        <v>0</v>
      </c>
      <c r="F337" s="80">
        <v>0</v>
      </c>
      <c r="G337" s="441"/>
      <c r="H337" s="441"/>
      <c r="I337" s="440"/>
      <c r="J337" s="434"/>
      <c r="K337" s="434"/>
      <c r="L337" s="74"/>
      <c r="M337" s="74"/>
      <c r="N337" s="74"/>
      <c r="O337" s="74"/>
      <c r="P337" s="74"/>
      <c r="Q337" s="75"/>
      <c r="R337" s="75"/>
      <c r="S337" s="75"/>
      <c r="T337" s="75"/>
    </row>
    <row r="338" spans="1:20" s="70" customFormat="1" ht="12.75" customHeight="1" x14ac:dyDescent="0.25">
      <c r="A338" s="440" t="s">
        <v>161</v>
      </c>
      <c r="B338" s="441" t="s">
        <v>162</v>
      </c>
      <c r="C338" s="77" t="s">
        <v>28</v>
      </c>
      <c r="D338" s="78">
        <f>D339+D340+D341+D342</f>
        <v>15165700</v>
      </c>
      <c r="E338" s="78">
        <f>E339+E340+E341+E342</f>
        <v>8663464.7800000012</v>
      </c>
      <c r="F338" s="78">
        <f t="shared" si="44"/>
        <v>0.57125386760914443</v>
      </c>
      <c r="G338" s="441" t="s">
        <v>48</v>
      </c>
      <c r="H338" s="441" t="s">
        <v>49</v>
      </c>
      <c r="I338" s="440" t="s">
        <v>50</v>
      </c>
      <c r="J338" s="434"/>
      <c r="K338" s="434"/>
      <c r="L338" s="68"/>
      <c r="M338" s="68"/>
      <c r="N338" s="68"/>
      <c r="O338" s="68"/>
      <c r="P338" s="68"/>
      <c r="Q338" s="69"/>
      <c r="R338" s="69"/>
      <c r="S338" s="69"/>
      <c r="T338" s="69"/>
    </row>
    <row r="339" spans="1:20" s="76" customFormat="1" ht="12" customHeight="1" x14ac:dyDescent="0.25">
      <c r="A339" s="440"/>
      <c r="B339" s="441"/>
      <c r="C339" s="133" t="s">
        <v>30</v>
      </c>
      <c r="D339" s="80">
        <f>'[3]табл.8 11.10.21'!H373</f>
        <v>0</v>
      </c>
      <c r="E339" s="80">
        <v>0</v>
      </c>
      <c r="F339" s="80">
        <v>0</v>
      </c>
      <c r="G339" s="441"/>
      <c r="H339" s="441"/>
      <c r="I339" s="440"/>
      <c r="J339" s="434"/>
      <c r="K339" s="434"/>
      <c r="L339" s="74"/>
      <c r="M339" s="74"/>
      <c r="N339" s="74"/>
      <c r="O339" s="74"/>
      <c r="P339" s="74"/>
      <c r="Q339" s="75"/>
      <c r="R339" s="75"/>
      <c r="S339" s="75"/>
      <c r="T339" s="75"/>
    </row>
    <row r="340" spans="1:20" s="76" customFormat="1" ht="12" customHeight="1" x14ac:dyDescent="0.25">
      <c r="A340" s="440"/>
      <c r="B340" s="441"/>
      <c r="C340" s="133" t="s">
        <v>32</v>
      </c>
      <c r="D340" s="80">
        <f>'[3]табл.8 11.10.21'!F373</f>
        <v>15165700</v>
      </c>
      <c r="E340" s="132">
        <f>'[3]01 10 2021'!M51+'[3]01 10 2021'!M103</f>
        <v>8663464.7800000012</v>
      </c>
      <c r="F340" s="80">
        <f t="shared" si="44"/>
        <v>0.57125386760914443</v>
      </c>
      <c r="G340" s="441"/>
      <c r="H340" s="441"/>
      <c r="I340" s="440"/>
      <c r="J340" s="434"/>
      <c r="K340" s="434"/>
      <c r="L340" s="74"/>
      <c r="M340" s="74"/>
      <c r="N340" s="74"/>
      <c r="O340" s="74"/>
      <c r="P340" s="74"/>
      <c r="Q340" s="75"/>
      <c r="R340" s="75"/>
      <c r="S340" s="75"/>
      <c r="T340" s="75"/>
    </row>
    <row r="341" spans="1:20" s="76" customFormat="1" ht="12" customHeight="1" x14ac:dyDescent="0.25">
      <c r="A341" s="440"/>
      <c r="B341" s="441"/>
      <c r="C341" s="133" t="s">
        <v>34</v>
      </c>
      <c r="D341" s="80">
        <f>'[3]табл.8 11.10.21'!G373</f>
        <v>0</v>
      </c>
      <c r="E341" s="80">
        <v>0</v>
      </c>
      <c r="F341" s="80">
        <v>0</v>
      </c>
      <c r="G341" s="441"/>
      <c r="H341" s="441"/>
      <c r="I341" s="440"/>
      <c r="J341" s="434"/>
      <c r="K341" s="434"/>
      <c r="L341" s="74"/>
      <c r="M341" s="74"/>
      <c r="N341" s="74"/>
      <c r="O341" s="74"/>
      <c r="P341" s="74"/>
      <c r="Q341" s="75"/>
      <c r="R341" s="75"/>
      <c r="S341" s="75"/>
      <c r="T341" s="75"/>
    </row>
    <row r="342" spans="1:20" s="76" customFormat="1" ht="12" customHeight="1" x14ac:dyDescent="0.25">
      <c r="A342" s="440"/>
      <c r="B342" s="441"/>
      <c r="C342" s="133" t="s">
        <v>36</v>
      </c>
      <c r="D342" s="80">
        <f>'[3]табл.8 11.10.21'!I373</f>
        <v>0</v>
      </c>
      <c r="E342" s="80">
        <v>0</v>
      </c>
      <c r="F342" s="80">
        <v>0</v>
      </c>
      <c r="G342" s="441"/>
      <c r="H342" s="441"/>
      <c r="I342" s="440"/>
      <c r="J342" s="434"/>
      <c r="K342" s="434"/>
      <c r="L342" s="74"/>
      <c r="M342" s="74"/>
      <c r="N342" s="74"/>
      <c r="O342" s="74"/>
      <c r="P342" s="74"/>
      <c r="Q342" s="75"/>
      <c r="R342" s="75"/>
      <c r="S342" s="75"/>
      <c r="T342" s="75"/>
    </row>
    <row r="343" spans="1:20" s="70" customFormat="1" ht="12" customHeight="1" x14ac:dyDescent="0.25">
      <c r="A343" s="440" t="s">
        <v>163</v>
      </c>
      <c r="B343" s="441" t="s">
        <v>164</v>
      </c>
      <c r="C343" s="77" t="s">
        <v>28</v>
      </c>
      <c r="D343" s="78">
        <f>D344+D345+D346+D347</f>
        <v>53646485.079999998</v>
      </c>
      <c r="E343" s="78">
        <f>E344+E345+E346+E347</f>
        <v>33540899.439999998</v>
      </c>
      <c r="F343" s="78">
        <f t="shared" si="44"/>
        <v>0.62522082089781528</v>
      </c>
      <c r="G343" s="442"/>
      <c r="H343" s="81" t="s">
        <v>39</v>
      </c>
      <c r="I343" s="77"/>
      <c r="J343" s="434"/>
      <c r="K343" s="434"/>
      <c r="L343" s="68"/>
      <c r="M343" s="68"/>
      <c r="N343" s="68"/>
      <c r="O343" s="68"/>
      <c r="P343" s="68"/>
      <c r="Q343" s="69"/>
      <c r="R343" s="69"/>
      <c r="S343" s="69"/>
      <c r="T343" s="69"/>
    </row>
    <row r="344" spans="1:20" s="76" customFormat="1" ht="12" customHeight="1" x14ac:dyDescent="0.25">
      <c r="A344" s="440"/>
      <c r="B344" s="441"/>
      <c r="C344" s="133" t="s">
        <v>30</v>
      </c>
      <c r="D344" s="80">
        <f>'[3]табл.8 11.10.21'!H379</f>
        <v>19446485.079999998</v>
      </c>
      <c r="E344" s="132">
        <f>'[3]01 10 2021'!M47+'[3]01 10 2021'!M98+'[3]01 10 2021'!M99</f>
        <v>19446485.079999998</v>
      </c>
      <c r="F344" s="80">
        <f t="shared" si="44"/>
        <v>1</v>
      </c>
      <c r="G344" s="442"/>
      <c r="H344" s="82" t="s">
        <v>31</v>
      </c>
      <c r="I344" s="133"/>
      <c r="J344" s="434"/>
      <c r="K344" s="434"/>
      <c r="L344" s="74"/>
      <c r="M344" s="74"/>
      <c r="N344" s="74"/>
      <c r="O344" s="74"/>
      <c r="P344" s="74"/>
      <c r="Q344" s="75"/>
      <c r="R344" s="75"/>
      <c r="S344" s="75"/>
      <c r="T344" s="75"/>
    </row>
    <row r="345" spans="1:20" s="76" customFormat="1" ht="12" customHeight="1" x14ac:dyDescent="0.25">
      <c r="A345" s="440"/>
      <c r="B345" s="441"/>
      <c r="C345" s="133" t="s">
        <v>32</v>
      </c>
      <c r="D345" s="80">
        <f>'[3]табл.8 11.10.21'!F379</f>
        <v>0</v>
      </c>
      <c r="E345" s="80">
        <v>0</v>
      </c>
      <c r="F345" s="80">
        <v>0</v>
      </c>
      <c r="G345" s="442"/>
      <c r="H345" s="82" t="s">
        <v>33</v>
      </c>
      <c r="I345" s="133"/>
      <c r="J345" s="434"/>
      <c r="K345" s="434"/>
      <c r="L345" s="74"/>
      <c r="M345" s="74"/>
      <c r="N345" s="74"/>
      <c r="O345" s="74"/>
      <c r="P345" s="74"/>
      <c r="Q345" s="75"/>
      <c r="R345" s="75"/>
      <c r="S345" s="75"/>
      <c r="T345" s="75"/>
    </row>
    <row r="346" spans="1:20" s="76" customFormat="1" ht="12" customHeight="1" x14ac:dyDescent="0.25">
      <c r="A346" s="440"/>
      <c r="B346" s="441"/>
      <c r="C346" s="133" t="s">
        <v>34</v>
      </c>
      <c r="D346" s="80">
        <f>'[3]табл.8 11.10.21'!G379</f>
        <v>0</v>
      </c>
      <c r="E346" s="80">
        <v>0</v>
      </c>
      <c r="F346" s="80">
        <v>0</v>
      </c>
      <c r="G346" s="442"/>
      <c r="H346" s="82" t="s">
        <v>35</v>
      </c>
      <c r="I346" s="133"/>
      <c r="J346" s="434"/>
      <c r="K346" s="434"/>
      <c r="L346" s="74"/>
      <c r="M346" s="74"/>
      <c r="N346" s="74"/>
      <c r="O346" s="74"/>
      <c r="P346" s="74"/>
      <c r="Q346" s="75"/>
      <c r="R346" s="75"/>
      <c r="S346" s="75"/>
      <c r="T346" s="75"/>
    </row>
    <row r="347" spans="1:20" s="76" customFormat="1" ht="12" customHeight="1" x14ac:dyDescent="0.25">
      <c r="A347" s="440"/>
      <c r="B347" s="441"/>
      <c r="C347" s="133" t="s">
        <v>36</v>
      </c>
      <c r="D347" s="80">
        <f>'[3]табл.8 11.10.21'!I379</f>
        <v>34200000</v>
      </c>
      <c r="E347" s="132">
        <f>'[4]01.10.'!$I$50+'[4]01.10.'!$J$47</f>
        <v>14094414.359999999</v>
      </c>
      <c r="F347" s="80">
        <f t="shared" si="44"/>
        <v>0.41211737894736838</v>
      </c>
      <c r="G347" s="442"/>
      <c r="H347" s="82" t="s">
        <v>37</v>
      </c>
      <c r="I347" s="133"/>
      <c r="J347" s="434"/>
      <c r="K347" s="434"/>
      <c r="L347" s="74"/>
      <c r="M347" s="74"/>
      <c r="N347" s="74"/>
      <c r="O347" s="74"/>
      <c r="P347" s="74"/>
      <c r="Q347" s="75"/>
      <c r="R347" s="75"/>
      <c r="S347" s="75"/>
      <c r="T347" s="75"/>
    </row>
    <row r="348" spans="1:20" s="70" customFormat="1" ht="12" customHeight="1" x14ac:dyDescent="0.25">
      <c r="A348" s="440" t="s">
        <v>165</v>
      </c>
      <c r="B348" s="441" t="s">
        <v>166</v>
      </c>
      <c r="C348" s="77" t="s">
        <v>28</v>
      </c>
      <c r="D348" s="78">
        <f>D349+D350+D351+D352</f>
        <v>3451034.1300000004</v>
      </c>
      <c r="E348" s="78">
        <f>E349+E350+E351+E352</f>
        <v>2534180.79</v>
      </c>
      <c r="F348" s="78">
        <f t="shared" si="44"/>
        <v>0.73432504418610312</v>
      </c>
      <c r="G348" s="441" t="s">
        <v>48</v>
      </c>
      <c r="H348" s="441" t="s">
        <v>49</v>
      </c>
      <c r="I348" s="440" t="s">
        <v>50</v>
      </c>
      <c r="J348" s="434"/>
      <c r="K348" s="434"/>
      <c r="L348" s="68"/>
      <c r="M348" s="68"/>
      <c r="N348" s="68"/>
      <c r="O348" s="68"/>
      <c r="P348" s="68"/>
      <c r="Q348" s="69"/>
      <c r="R348" s="69"/>
      <c r="S348" s="69"/>
      <c r="T348" s="69"/>
    </row>
    <row r="349" spans="1:20" s="76" customFormat="1" ht="12" customHeight="1" x14ac:dyDescent="0.25">
      <c r="A349" s="440"/>
      <c r="B349" s="441"/>
      <c r="C349" s="133" t="s">
        <v>30</v>
      </c>
      <c r="D349" s="80">
        <f>'[3]табл.8 11.10.21'!H385</f>
        <v>2328081.9000000004</v>
      </c>
      <c r="E349" s="132">
        <f>'[3]01 10 2021'!M56+'[3]01 10 2021'!M58+'[3]01 10 2021'!M108+'[3]01 10 2021'!M110</f>
        <v>1671376.79</v>
      </c>
      <c r="F349" s="80">
        <f t="shared" si="44"/>
        <v>0.71792009980404892</v>
      </c>
      <c r="G349" s="441"/>
      <c r="H349" s="441"/>
      <c r="I349" s="440"/>
      <c r="J349" s="434"/>
      <c r="K349" s="434"/>
      <c r="L349" s="74"/>
      <c r="M349" s="74"/>
      <c r="N349" s="74"/>
      <c r="O349" s="74"/>
      <c r="P349" s="74"/>
      <c r="Q349" s="75"/>
      <c r="R349" s="75"/>
      <c r="S349" s="75"/>
      <c r="T349" s="75"/>
    </row>
    <row r="350" spans="1:20" s="76" customFormat="1" ht="12" customHeight="1" x14ac:dyDescent="0.25">
      <c r="A350" s="440"/>
      <c r="B350" s="441"/>
      <c r="C350" s="133" t="s">
        <v>32</v>
      </c>
      <c r="D350" s="80">
        <f>'[3]табл.8 11.10.21'!F385</f>
        <v>1122952.23</v>
      </c>
      <c r="E350" s="132">
        <f>'[3]01 10 2021'!M49+'[3]01 10 2021'!M101</f>
        <v>862804</v>
      </c>
      <c r="F350" s="80">
        <f t="shared" si="44"/>
        <v>0.76833544379710617</v>
      </c>
      <c r="G350" s="441"/>
      <c r="H350" s="441"/>
      <c r="I350" s="440"/>
      <c r="J350" s="434"/>
      <c r="K350" s="434"/>
      <c r="L350" s="74"/>
      <c r="M350" s="74"/>
      <c r="N350" s="74"/>
      <c r="O350" s="74"/>
      <c r="P350" s="74"/>
      <c r="Q350" s="75"/>
      <c r="R350" s="75"/>
      <c r="S350" s="75"/>
      <c r="T350" s="75"/>
    </row>
    <row r="351" spans="1:20" s="76" customFormat="1" ht="12" customHeight="1" x14ac:dyDescent="0.25">
      <c r="A351" s="440"/>
      <c r="B351" s="441"/>
      <c r="C351" s="133" t="s">
        <v>34</v>
      </c>
      <c r="D351" s="80">
        <f>'[3]табл.8 11.10.21'!G385</f>
        <v>0</v>
      </c>
      <c r="E351" s="80">
        <v>0</v>
      </c>
      <c r="F351" s="80">
        <v>0</v>
      </c>
      <c r="G351" s="441"/>
      <c r="H351" s="441"/>
      <c r="I351" s="440"/>
      <c r="J351" s="434"/>
      <c r="K351" s="434"/>
      <c r="L351" s="74"/>
      <c r="M351" s="74"/>
      <c r="N351" s="74"/>
      <c r="O351" s="74"/>
      <c r="P351" s="74"/>
      <c r="Q351" s="75"/>
      <c r="R351" s="75"/>
      <c r="S351" s="75"/>
      <c r="T351" s="75"/>
    </row>
    <row r="352" spans="1:20" s="76" customFormat="1" ht="12" customHeight="1" x14ac:dyDescent="0.25">
      <c r="A352" s="440"/>
      <c r="B352" s="441"/>
      <c r="C352" s="133" t="s">
        <v>36</v>
      </c>
      <c r="D352" s="80">
        <f>'[3]табл.8 11.10.21'!I385</f>
        <v>0</v>
      </c>
      <c r="E352" s="80">
        <v>0</v>
      </c>
      <c r="F352" s="80">
        <v>0</v>
      </c>
      <c r="G352" s="441"/>
      <c r="H352" s="441"/>
      <c r="I352" s="440"/>
      <c r="J352" s="434"/>
      <c r="K352" s="434"/>
      <c r="L352" s="74"/>
      <c r="M352" s="74"/>
      <c r="N352" s="74"/>
      <c r="O352" s="74"/>
      <c r="P352" s="74"/>
      <c r="Q352" s="75"/>
      <c r="R352" s="75"/>
      <c r="S352" s="75"/>
      <c r="T352" s="75"/>
    </row>
    <row r="353" spans="1:20" s="70" customFormat="1" ht="12" customHeight="1" x14ac:dyDescent="0.25">
      <c r="A353" s="440" t="s">
        <v>167</v>
      </c>
      <c r="B353" s="441" t="s">
        <v>168</v>
      </c>
      <c r="C353" s="77" t="s">
        <v>28</v>
      </c>
      <c r="D353" s="78">
        <f>D354+D355+D356+D357</f>
        <v>40377535.880000003</v>
      </c>
      <c r="E353" s="78">
        <f>E354+E355+E356+E357</f>
        <v>23373347.140000001</v>
      </c>
      <c r="F353" s="78">
        <f t="shared" ref="F353:F356" si="46">E353/D353</f>
        <v>0.57887007294017168</v>
      </c>
      <c r="G353" s="441" t="s">
        <v>48</v>
      </c>
      <c r="H353" s="441" t="s">
        <v>49</v>
      </c>
      <c r="I353" s="440" t="s">
        <v>50</v>
      </c>
      <c r="J353" s="434"/>
      <c r="K353" s="434"/>
      <c r="L353" s="68"/>
      <c r="M353" s="68"/>
      <c r="N353" s="68"/>
      <c r="O353" s="68"/>
      <c r="P353" s="68"/>
      <c r="Q353" s="69"/>
      <c r="R353" s="69"/>
      <c r="S353" s="69"/>
      <c r="T353" s="69"/>
    </row>
    <row r="354" spans="1:20" s="76" customFormat="1" ht="12" customHeight="1" x14ac:dyDescent="0.25">
      <c r="A354" s="440"/>
      <c r="B354" s="441"/>
      <c r="C354" s="133" t="s">
        <v>30</v>
      </c>
      <c r="D354" s="80">
        <f>'[3]табл.8 11.10.21'!H391</f>
        <v>807550.88</v>
      </c>
      <c r="E354" s="132">
        <f>'[3]01 10 2021'!M54+'[3]01 10 2021'!M106+'[3]01 10 2021'!M57+'[3]01 10 2021'!M109</f>
        <v>465794.33000000007</v>
      </c>
      <c r="F354" s="80">
        <f t="shared" si="46"/>
        <v>0.57679873991345298</v>
      </c>
      <c r="G354" s="441"/>
      <c r="H354" s="441"/>
      <c r="I354" s="440"/>
      <c r="J354" s="434"/>
      <c r="K354" s="434"/>
      <c r="L354" s="74"/>
      <c r="M354" s="74"/>
      <c r="N354" s="74"/>
      <c r="O354" s="74"/>
      <c r="P354" s="74"/>
      <c r="Q354" s="75"/>
      <c r="R354" s="75"/>
      <c r="S354" s="75"/>
      <c r="T354" s="75"/>
    </row>
    <row r="355" spans="1:20" s="76" customFormat="1" ht="12" customHeight="1" x14ac:dyDescent="0.25">
      <c r="A355" s="440"/>
      <c r="B355" s="441"/>
      <c r="C355" s="133" t="s">
        <v>32</v>
      </c>
      <c r="D355" s="80">
        <f>'[3]табл.8 11.10.21'!F391</f>
        <v>14640050</v>
      </c>
      <c r="E355" s="132">
        <f>'[3]01 10 2021'!M52+'[3]01 10 2021'!M104-E356+'[3]01 10 2021'!M50+'[3]01 10 2021'!M102</f>
        <v>8171494.1700000009</v>
      </c>
      <c r="F355" s="80">
        <f t="shared" si="46"/>
        <v>0.5581602637969133</v>
      </c>
      <c r="G355" s="441"/>
      <c r="H355" s="441"/>
      <c r="I355" s="440"/>
      <c r="J355" s="434"/>
      <c r="K355" s="434"/>
      <c r="L355" s="74"/>
      <c r="M355" s="74"/>
      <c r="N355" s="74"/>
      <c r="O355" s="74"/>
      <c r="P355" s="74"/>
      <c r="Q355" s="75"/>
      <c r="R355" s="75"/>
      <c r="S355" s="75"/>
      <c r="T355" s="75"/>
    </row>
    <row r="356" spans="1:20" s="76" customFormat="1" ht="12" customHeight="1" x14ac:dyDescent="0.25">
      <c r="A356" s="440"/>
      <c r="B356" s="441"/>
      <c r="C356" s="133" t="s">
        <v>34</v>
      </c>
      <c r="D356" s="80">
        <f>'[3]табл.8 11.10.21'!G391</f>
        <v>24929935</v>
      </c>
      <c r="E356" s="132">
        <v>14736058.640000001</v>
      </c>
      <c r="F356" s="80">
        <f t="shared" si="46"/>
        <v>0.59109895954401814</v>
      </c>
      <c r="G356" s="441"/>
      <c r="H356" s="441"/>
      <c r="I356" s="440"/>
      <c r="J356" s="434"/>
      <c r="K356" s="434"/>
      <c r="L356" s="74"/>
      <c r="M356" s="74"/>
      <c r="N356" s="74"/>
      <c r="O356" s="74"/>
      <c r="P356" s="74"/>
      <c r="Q356" s="75"/>
      <c r="R356" s="75"/>
      <c r="S356" s="75"/>
      <c r="T356" s="75"/>
    </row>
    <row r="357" spans="1:20" s="76" customFormat="1" ht="12" customHeight="1" x14ac:dyDescent="0.25">
      <c r="A357" s="440"/>
      <c r="B357" s="441"/>
      <c r="C357" s="133" t="s">
        <v>36</v>
      </c>
      <c r="D357" s="80">
        <f>'[3]табл.8 11.10.21'!I391</f>
        <v>0</v>
      </c>
      <c r="E357" s="80">
        <v>0</v>
      </c>
      <c r="F357" s="80">
        <v>0</v>
      </c>
      <c r="G357" s="441"/>
      <c r="H357" s="441"/>
      <c r="I357" s="440"/>
      <c r="J357" s="434"/>
      <c r="K357" s="434"/>
      <c r="L357" s="74"/>
      <c r="M357" s="74"/>
      <c r="N357" s="74"/>
      <c r="O357" s="74"/>
      <c r="P357" s="74"/>
      <c r="Q357" s="75"/>
      <c r="R357" s="75"/>
      <c r="S357" s="75"/>
      <c r="T357" s="75"/>
    </row>
    <row r="358" spans="1:20" s="70" customFormat="1" ht="12" customHeight="1" x14ac:dyDescent="0.25">
      <c r="A358" s="436" t="s">
        <v>169</v>
      </c>
      <c r="B358" s="437" t="s">
        <v>170</v>
      </c>
      <c r="C358" s="126" t="s">
        <v>28</v>
      </c>
      <c r="D358" s="127">
        <f>D359+D360+D361+D362</f>
        <v>14659584.120000001</v>
      </c>
      <c r="E358" s="127">
        <f>E359+E360+E361+E362</f>
        <v>13193412.120000001</v>
      </c>
      <c r="F358" s="127">
        <f>E358/D358</f>
        <v>0.8999854301460225</v>
      </c>
      <c r="G358" s="438"/>
      <c r="H358" s="128" t="s">
        <v>39</v>
      </c>
      <c r="I358" s="126"/>
      <c r="J358" s="439"/>
      <c r="K358" s="439"/>
      <c r="L358" s="68"/>
      <c r="M358" s="68"/>
      <c r="N358" s="68"/>
      <c r="O358" s="68"/>
      <c r="P358" s="68"/>
      <c r="Q358" s="69"/>
      <c r="R358" s="69"/>
      <c r="S358" s="69"/>
      <c r="T358" s="69"/>
    </row>
    <row r="359" spans="1:20" s="76" customFormat="1" ht="12" customHeight="1" x14ac:dyDescent="0.25">
      <c r="A359" s="436"/>
      <c r="B359" s="437"/>
      <c r="C359" s="134" t="s">
        <v>30</v>
      </c>
      <c r="D359" s="130">
        <f>D364</f>
        <v>7080214.1200000001</v>
      </c>
      <c r="E359" s="130">
        <f>E364</f>
        <v>5640214.1200000001</v>
      </c>
      <c r="F359" s="130">
        <f t="shared" ref="F359:F367" si="47">E359/D359</f>
        <v>0.79661632041150754</v>
      </c>
      <c r="G359" s="438"/>
      <c r="H359" s="131" t="s">
        <v>31</v>
      </c>
      <c r="I359" s="134"/>
      <c r="J359" s="439"/>
      <c r="K359" s="439"/>
      <c r="L359" s="74"/>
      <c r="M359" s="74"/>
      <c r="N359" s="74"/>
      <c r="O359" s="74"/>
      <c r="P359" s="74"/>
      <c r="Q359" s="75"/>
      <c r="R359" s="75"/>
      <c r="S359" s="75"/>
      <c r="T359" s="75"/>
    </row>
    <row r="360" spans="1:20" s="76" customFormat="1" ht="12" customHeight="1" x14ac:dyDescent="0.25">
      <c r="A360" s="436"/>
      <c r="B360" s="437"/>
      <c r="C360" s="134" t="s">
        <v>32</v>
      </c>
      <c r="D360" s="130">
        <f t="shared" ref="D360:E362" si="48">D365</f>
        <v>3260900</v>
      </c>
      <c r="E360" s="130">
        <f t="shared" si="48"/>
        <v>3260900</v>
      </c>
      <c r="F360" s="130">
        <f t="shared" si="47"/>
        <v>1</v>
      </c>
      <c r="G360" s="438"/>
      <c r="H360" s="131" t="s">
        <v>33</v>
      </c>
      <c r="I360" s="134"/>
      <c r="J360" s="439"/>
      <c r="K360" s="439"/>
      <c r="L360" s="74"/>
      <c r="M360" s="74"/>
      <c r="N360" s="74"/>
      <c r="O360" s="74"/>
      <c r="P360" s="74"/>
      <c r="Q360" s="75"/>
      <c r="R360" s="75"/>
      <c r="S360" s="75"/>
      <c r="T360" s="75"/>
    </row>
    <row r="361" spans="1:20" s="76" customFormat="1" ht="12" customHeight="1" x14ac:dyDescent="0.25">
      <c r="A361" s="436"/>
      <c r="B361" s="437"/>
      <c r="C361" s="134" t="s">
        <v>34</v>
      </c>
      <c r="D361" s="130">
        <f t="shared" si="48"/>
        <v>0</v>
      </c>
      <c r="E361" s="130">
        <f t="shared" si="48"/>
        <v>0</v>
      </c>
      <c r="F361" s="130">
        <v>0</v>
      </c>
      <c r="G361" s="438"/>
      <c r="H361" s="131" t="s">
        <v>35</v>
      </c>
      <c r="I361" s="134"/>
      <c r="J361" s="439"/>
      <c r="K361" s="439"/>
      <c r="L361" s="74"/>
      <c r="M361" s="74"/>
      <c r="N361" s="74"/>
      <c r="O361" s="74"/>
      <c r="P361" s="74"/>
      <c r="Q361" s="75"/>
      <c r="R361" s="75"/>
      <c r="S361" s="75"/>
      <c r="T361" s="75"/>
    </row>
    <row r="362" spans="1:20" s="76" customFormat="1" ht="12" customHeight="1" x14ac:dyDescent="0.25">
      <c r="A362" s="436"/>
      <c r="B362" s="437"/>
      <c r="C362" s="134" t="s">
        <v>36</v>
      </c>
      <c r="D362" s="130">
        <f t="shared" si="48"/>
        <v>4318470</v>
      </c>
      <c r="E362" s="130">
        <f t="shared" si="48"/>
        <v>4292298</v>
      </c>
      <c r="F362" s="130">
        <f t="shared" si="47"/>
        <v>0.99393952024675403</v>
      </c>
      <c r="G362" s="438"/>
      <c r="H362" s="131" t="s">
        <v>37</v>
      </c>
      <c r="I362" s="134"/>
      <c r="J362" s="439"/>
      <c r="K362" s="439"/>
      <c r="L362" s="74"/>
      <c r="M362" s="74"/>
      <c r="N362" s="74"/>
      <c r="O362" s="74"/>
      <c r="P362" s="74"/>
      <c r="Q362" s="75"/>
      <c r="R362" s="75"/>
      <c r="S362" s="75"/>
      <c r="T362" s="75"/>
    </row>
    <row r="363" spans="1:20" s="70" customFormat="1" ht="12" customHeight="1" x14ac:dyDescent="0.25">
      <c r="A363" s="440" t="s">
        <v>171</v>
      </c>
      <c r="B363" s="441" t="s">
        <v>172</v>
      </c>
      <c r="C363" s="77" t="s">
        <v>28</v>
      </c>
      <c r="D363" s="78">
        <f>D364+D365+D366+D367</f>
        <v>14659584.120000001</v>
      </c>
      <c r="E363" s="78">
        <f>E364+E365+E366+E367</f>
        <v>13193412.120000001</v>
      </c>
      <c r="F363" s="78">
        <f t="shared" si="47"/>
        <v>0.8999854301460225</v>
      </c>
      <c r="G363" s="441" t="s">
        <v>48</v>
      </c>
      <c r="H363" s="441" t="s">
        <v>49</v>
      </c>
      <c r="I363" s="440" t="s">
        <v>50</v>
      </c>
      <c r="J363" s="434"/>
      <c r="K363" s="434"/>
      <c r="L363" s="68"/>
      <c r="M363" s="68"/>
      <c r="N363" s="68"/>
      <c r="O363" s="68"/>
      <c r="P363" s="68"/>
      <c r="Q363" s="69"/>
      <c r="R363" s="69"/>
      <c r="S363" s="69"/>
      <c r="T363" s="69"/>
    </row>
    <row r="364" spans="1:20" s="76" customFormat="1" ht="12" customHeight="1" x14ac:dyDescent="0.25">
      <c r="A364" s="440"/>
      <c r="B364" s="441"/>
      <c r="C364" s="133" t="s">
        <v>30</v>
      </c>
      <c r="D364" s="80">
        <f>'[3]табл.8 11.10.21'!H403</f>
        <v>7080214.1200000001</v>
      </c>
      <c r="E364" s="132">
        <f>'[3]01 10 2021'!M88+'[3]01 10 2021'!M91+'[3]01 10 2021'!M92+'[3]01 10 2021'!M87</f>
        <v>5640214.1200000001</v>
      </c>
      <c r="F364" s="80">
        <f t="shared" si="47"/>
        <v>0.79661632041150754</v>
      </c>
      <c r="G364" s="441"/>
      <c r="H364" s="441"/>
      <c r="I364" s="440"/>
      <c r="J364" s="434"/>
      <c r="K364" s="434"/>
      <c r="L364" s="74"/>
      <c r="M364" s="74"/>
      <c r="N364" s="74"/>
      <c r="O364" s="74"/>
      <c r="P364" s="74"/>
      <c r="Q364" s="75"/>
      <c r="R364" s="75"/>
      <c r="S364" s="75"/>
      <c r="T364" s="75"/>
    </row>
    <row r="365" spans="1:20" s="76" customFormat="1" ht="12" customHeight="1" x14ac:dyDescent="0.25">
      <c r="A365" s="440"/>
      <c r="B365" s="441"/>
      <c r="C365" s="133" t="s">
        <v>32</v>
      </c>
      <c r="D365" s="80">
        <f>'[3]табл.8 11.10.21'!F403</f>
        <v>3260900</v>
      </c>
      <c r="E365" s="132">
        <f>'[3]01 10 2021'!M89+'[3]01 10 2021'!M90</f>
        <v>3260900</v>
      </c>
      <c r="F365" s="80">
        <f t="shared" si="47"/>
        <v>1</v>
      </c>
      <c r="G365" s="441"/>
      <c r="H365" s="441"/>
      <c r="I365" s="440"/>
      <c r="J365" s="434"/>
      <c r="K365" s="434"/>
      <c r="L365" s="74"/>
      <c r="M365" s="74"/>
      <c r="N365" s="74"/>
      <c r="O365" s="74"/>
      <c r="P365" s="74"/>
      <c r="Q365" s="75"/>
      <c r="R365" s="75"/>
      <c r="S365" s="75"/>
      <c r="T365" s="75"/>
    </row>
    <row r="366" spans="1:20" s="76" customFormat="1" ht="12" customHeight="1" x14ac:dyDescent="0.25">
      <c r="A366" s="440"/>
      <c r="B366" s="441"/>
      <c r="C366" s="133" t="s">
        <v>34</v>
      </c>
      <c r="D366" s="80">
        <f>'[3]табл.8 11.10.21'!G403</f>
        <v>0</v>
      </c>
      <c r="E366" s="80">
        <v>0</v>
      </c>
      <c r="F366" s="80">
        <v>0</v>
      </c>
      <c r="G366" s="441"/>
      <c r="H366" s="441"/>
      <c r="I366" s="440"/>
      <c r="J366" s="434"/>
      <c r="K366" s="434"/>
      <c r="L366" s="74"/>
      <c r="M366" s="74"/>
      <c r="N366" s="74"/>
      <c r="O366" s="74"/>
      <c r="P366" s="74"/>
      <c r="Q366" s="75"/>
      <c r="R366" s="75"/>
      <c r="S366" s="75"/>
      <c r="T366" s="75"/>
    </row>
    <row r="367" spans="1:20" s="76" customFormat="1" ht="12" customHeight="1" x14ac:dyDescent="0.25">
      <c r="A367" s="440"/>
      <c r="B367" s="441"/>
      <c r="C367" s="133" t="s">
        <v>36</v>
      </c>
      <c r="D367" s="80">
        <f>'[3]табл.8 11.10.21'!I403</f>
        <v>4318470</v>
      </c>
      <c r="E367" s="132">
        <f>[5]имц!$E$172</f>
        <v>4292298</v>
      </c>
      <c r="F367" s="80">
        <f t="shared" si="47"/>
        <v>0.99393952024675403</v>
      </c>
      <c r="G367" s="441"/>
      <c r="H367" s="441"/>
      <c r="I367" s="440"/>
      <c r="J367" s="434"/>
      <c r="K367" s="434"/>
      <c r="L367" s="74"/>
      <c r="M367" s="74"/>
      <c r="N367" s="74"/>
      <c r="O367" s="74"/>
      <c r="P367" s="74"/>
      <c r="Q367" s="75"/>
      <c r="R367" s="75"/>
      <c r="S367" s="75"/>
      <c r="T367" s="75"/>
    </row>
    <row r="368" spans="1:20" ht="20.25" customHeight="1" x14ac:dyDescent="0.25">
      <c r="A368" s="1"/>
      <c r="C368" s="3"/>
    </row>
    <row r="369" spans="1:20" ht="23.25" hidden="1" customHeight="1" x14ac:dyDescent="0.25">
      <c r="A369" s="432" t="s">
        <v>173</v>
      </c>
      <c r="B369" s="432"/>
      <c r="C369" s="432"/>
      <c r="D369" s="432"/>
      <c r="E369" s="432"/>
      <c r="F369" s="432"/>
      <c r="G369" s="432"/>
      <c r="H369" s="432"/>
      <c r="I369" s="432"/>
      <c r="J369" s="432"/>
      <c r="K369" s="432"/>
    </row>
    <row r="370" spans="1:20" ht="59.25" hidden="1" customHeight="1" x14ac:dyDescent="0.25">
      <c r="A370" s="435" t="s">
        <v>174</v>
      </c>
      <c r="B370" s="435"/>
      <c r="C370" s="435"/>
      <c r="D370" s="435"/>
      <c r="E370" s="435"/>
      <c r="F370" s="435"/>
      <c r="G370" s="435"/>
      <c r="H370" s="435"/>
      <c r="I370" s="435"/>
      <c r="J370" s="435"/>
      <c r="K370" s="435"/>
    </row>
    <row r="371" spans="1:20" ht="12.75" hidden="1" customHeight="1" x14ac:dyDescent="0.25">
      <c r="A371" s="432" t="s">
        <v>175</v>
      </c>
      <c r="B371" s="432"/>
      <c r="C371" s="432"/>
      <c r="D371" s="432"/>
      <c r="E371" s="432"/>
      <c r="F371" s="432"/>
      <c r="G371" s="432"/>
      <c r="H371" s="432"/>
      <c r="I371" s="432"/>
      <c r="J371" s="432"/>
      <c r="K371" s="432"/>
    </row>
    <row r="372" spans="1:20" ht="90" hidden="1" customHeight="1" x14ac:dyDescent="0.25">
      <c r="A372" s="435" t="s">
        <v>176</v>
      </c>
      <c r="B372" s="435"/>
      <c r="C372" s="435"/>
      <c r="D372" s="435"/>
      <c r="E372" s="435"/>
      <c r="F372" s="435"/>
      <c r="G372" s="435"/>
      <c r="H372" s="435"/>
      <c r="I372" s="435"/>
      <c r="J372" s="435"/>
      <c r="K372" s="435"/>
    </row>
    <row r="373" spans="1:20" ht="15" hidden="1" customHeight="1" x14ac:dyDescent="0.25">
      <c r="A373" s="432" t="s">
        <v>177</v>
      </c>
      <c r="B373" s="432"/>
      <c r="C373" s="432"/>
      <c r="D373" s="432"/>
      <c r="E373" s="432"/>
      <c r="F373" s="432"/>
      <c r="G373" s="432"/>
      <c r="H373" s="432"/>
      <c r="I373" s="432"/>
      <c r="J373" s="432"/>
      <c r="K373" s="432"/>
    </row>
    <row r="374" spans="1:20" ht="26.25" hidden="1" customHeight="1" x14ac:dyDescent="0.25">
      <c r="A374" s="433" t="s">
        <v>178</v>
      </c>
      <c r="B374" s="433"/>
      <c r="C374" s="433"/>
      <c r="D374" s="433"/>
      <c r="E374" s="433"/>
      <c r="F374" s="433"/>
      <c r="G374" s="433"/>
      <c r="H374" s="433"/>
      <c r="I374" s="433"/>
      <c r="J374" s="433"/>
      <c r="K374" s="433"/>
    </row>
    <row r="375" spans="1:20" s="162" customFormat="1" x14ac:dyDescent="0.25">
      <c r="B375" s="166" t="s">
        <v>181</v>
      </c>
      <c r="C375" s="167"/>
      <c r="D375" s="168"/>
      <c r="E375" s="169" t="s">
        <v>182</v>
      </c>
      <c r="F375" s="163"/>
      <c r="L375" s="164"/>
      <c r="M375" s="164"/>
      <c r="N375" s="164"/>
      <c r="O375" s="164"/>
      <c r="P375" s="164"/>
      <c r="Q375" s="165"/>
      <c r="R375" s="165"/>
      <c r="S375" s="165"/>
      <c r="T375" s="165"/>
    </row>
    <row r="376" spans="1:20" s="162" customFormat="1" x14ac:dyDescent="0.25">
      <c r="D376" s="163"/>
      <c r="E376" s="163"/>
      <c r="F376" s="163"/>
      <c r="L376" s="164"/>
      <c r="M376" s="164"/>
      <c r="N376" s="164"/>
      <c r="O376" s="164"/>
      <c r="P376" s="164"/>
      <c r="Q376" s="165"/>
      <c r="R376" s="165"/>
      <c r="S376" s="165"/>
      <c r="T376" s="165"/>
    </row>
    <row r="377" spans="1:20" s="166" customFormat="1" ht="12.75" x14ac:dyDescent="0.2">
      <c r="B377" s="166" t="s">
        <v>183</v>
      </c>
      <c r="D377" s="169"/>
      <c r="E377" s="169"/>
      <c r="F377" s="169"/>
      <c r="Q377" s="170"/>
      <c r="R377" s="170"/>
      <c r="S377" s="170"/>
      <c r="T377" s="170"/>
    </row>
    <row r="378" spans="1:20" s="166" customFormat="1" ht="12.75" x14ac:dyDescent="0.2">
      <c r="B378" s="166" t="s">
        <v>184</v>
      </c>
      <c r="D378" s="169"/>
      <c r="E378" s="169"/>
      <c r="F378" s="169"/>
      <c r="Q378" s="170"/>
      <c r="R378" s="170"/>
      <c r="S378" s="170"/>
      <c r="T378" s="170"/>
    </row>
    <row r="379" spans="1:20" s="162" customFormat="1" x14ac:dyDescent="0.25">
      <c r="D379" s="163"/>
      <c r="E379" s="163"/>
      <c r="F379" s="163"/>
      <c r="L379" s="164"/>
      <c r="M379" s="164"/>
      <c r="N379" s="164"/>
      <c r="O379" s="164"/>
      <c r="P379" s="164"/>
      <c r="Q379" s="165"/>
      <c r="R379" s="165"/>
      <c r="S379" s="165"/>
      <c r="T379" s="165"/>
    </row>
    <row r="380" spans="1:20" s="162" customFormat="1" x14ac:dyDescent="0.25">
      <c r="D380" s="163"/>
      <c r="E380" s="163"/>
      <c r="F380" s="163"/>
      <c r="L380" s="164"/>
      <c r="M380" s="164"/>
      <c r="N380" s="164"/>
      <c r="O380" s="164"/>
      <c r="P380" s="164"/>
      <c r="Q380" s="165"/>
      <c r="R380" s="165"/>
      <c r="S380" s="165"/>
      <c r="T380" s="165"/>
    </row>
    <row r="381" spans="1:20" s="162" customFormat="1" x14ac:dyDescent="0.25">
      <c r="D381" s="163"/>
      <c r="E381" s="163"/>
      <c r="F381" s="163"/>
      <c r="L381" s="164"/>
      <c r="M381" s="164"/>
      <c r="N381" s="164"/>
      <c r="O381" s="164"/>
      <c r="P381" s="164"/>
      <c r="Q381" s="165"/>
      <c r="R381" s="165"/>
      <c r="S381" s="165"/>
      <c r="T381" s="165"/>
    </row>
    <row r="382" spans="1:20" s="162" customFormat="1" x14ac:dyDescent="0.25">
      <c r="D382" s="163"/>
      <c r="E382" s="163"/>
      <c r="F382" s="163"/>
      <c r="L382" s="164"/>
      <c r="M382" s="164"/>
      <c r="N382" s="164"/>
      <c r="O382" s="164"/>
      <c r="P382" s="164"/>
      <c r="Q382" s="165"/>
      <c r="R382" s="165"/>
      <c r="S382" s="165"/>
      <c r="T382" s="165"/>
    </row>
    <row r="383" spans="1:20" s="162" customFormat="1" x14ac:dyDescent="0.25">
      <c r="D383" s="163"/>
      <c r="E383" s="163"/>
      <c r="F383" s="163"/>
      <c r="L383" s="164"/>
      <c r="M383" s="164"/>
      <c r="N383" s="164"/>
      <c r="O383" s="164"/>
      <c r="P383" s="164"/>
      <c r="Q383" s="165"/>
      <c r="R383" s="165"/>
      <c r="S383" s="165"/>
      <c r="T383" s="165"/>
    </row>
    <row r="384" spans="1:20" s="162" customFormat="1" x14ac:dyDescent="0.25">
      <c r="D384" s="163"/>
      <c r="E384" s="163"/>
      <c r="F384" s="163"/>
      <c r="L384" s="164"/>
      <c r="M384" s="164"/>
      <c r="N384" s="164"/>
      <c r="O384" s="164"/>
      <c r="P384" s="164"/>
      <c r="Q384" s="165"/>
      <c r="R384" s="165"/>
      <c r="S384" s="165"/>
      <c r="T384" s="165"/>
    </row>
    <row r="385" spans="4:20" s="162" customFormat="1" x14ac:dyDescent="0.25">
      <c r="D385" s="163"/>
      <c r="E385" s="163"/>
      <c r="F385" s="163"/>
      <c r="L385" s="164"/>
      <c r="M385" s="164"/>
      <c r="N385" s="164"/>
      <c r="O385" s="164"/>
      <c r="P385" s="164"/>
      <c r="Q385" s="165"/>
      <c r="R385" s="165"/>
      <c r="S385" s="165"/>
      <c r="T385" s="165"/>
    </row>
  </sheetData>
  <mergeCells count="428">
    <mergeCell ref="A373:K373"/>
    <mergeCell ref="A374:K374"/>
    <mergeCell ref="J363:J367"/>
    <mergeCell ref="K363:K367"/>
    <mergeCell ref="A369:K369"/>
    <mergeCell ref="A370:K370"/>
    <mergeCell ref="A371:K371"/>
    <mergeCell ref="A372:K372"/>
    <mergeCell ref="A358:A362"/>
    <mergeCell ref="B358:B362"/>
    <mergeCell ref="G358:G362"/>
    <mergeCell ref="J358:J362"/>
    <mergeCell ref="K358:K362"/>
    <mergeCell ref="A363:A367"/>
    <mergeCell ref="B363:B367"/>
    <mergeCell ref="G363:G367"/>
    <mergeCell ref="H363:H367"/>
    <mergeCell ref="I363:I367"/>
    <mergeCell ref="J343:J347"/>
    <mergeCell ref="K343:K347"/>
    <mergeCell ref="A348:A352"/>
    <mergeCell ref="B348:B352"/>
    <mergeCell ref="G348:G352"/>
    <mergeCell ref="H348:H352"/>
    <mergeCell ref="I348:I352"/>
    <mergeCell ref="J348:J352"/>
    <mergeCell ref="K348:K352"/>
    <mergeCell ref="A353:A357"/>
    <mergeCell ref="B353:B357"/>
    <mergeCell ref="G353:G357"/>
    <mergeCell ref="H353:H357"/>
    <mergeCell ref="I353:I357"/>
    <mergeCell ref="J353:J357"/>
    <mergeCell ref="K353:K357"/>
    <mergeCell ref="K333:K337"/>
    <mergeCell ref="A338:A342"/>
    <mergeCell ref="B338:B342"/>
    <mergeCell ref="G338:G342"/>
    <mergeCell ref="H338:H342"/>
    <mergeCell ref="I338:I342"/>
    <mergeCell ref="J338:J342"/>
    <mergeCell ref="K338:K342"/>
    <mergeCell ref="A333:A337"/>
    <mergeCell ref="B333:B337"/>
    <mergeCell ref="G333:G337"/>
    <mergeCell ref="H333:H337"/>
    <mergeCell ref="I333:I337"/>
    <mergeCell ref="J333:J337"/>
    <mergeCell ref="A343:A347"/>
    <mergeCell ref="B343:B347"/>
    <mergeCell ref="G343:G347"/>
    <mergeCell ref="A328:A332"/>
    <mergeCell ref="B328:B332"/>
    <mergeCell ref="G328:G332"/>
    <mergeCell ref="J328:J332"/>
    <mergeCell ref="K328:K332"/>
    <mergeCell ref="A318:A322"/>
    <mergeCell ref="B318:B322"/>
    <mergeCell ref="G318:G322"/>
    <mergeCell ref="J318:J322"/>
    <mergeCell ref="K318:K322"/>
    <mergeCell ref="A323:A327"/>
    <mergeCell ref="B323:B327"/>
    <mergeCell ref="G323:G327"/>
    <mergeCell ref="H323:H327"/>
    <mergeCell ref="I323:I327"/>
    <mergeCell ref="A313:A317"/>
    <mergeCell ref="B313:B317"/>
    <mergeCell ref="G313:G317"/>
    <mergeCell ref="H313:H317"/>
    <mergeCell ref="I313:I317"/>
    <mergeCell ref="J313:J317"/>
    <mergeCell ref="K313:K317"/>
    <mergeCell ref="J323:J327"/>
    <mergeCell ref="K323:K327"/>
    <mergeCell ref="A303:A307"/>
    <mergeCell ref="B303:B307"/>
    <mergeCell ref="G303:G307"/>
    <mergeCell ref="J303:J307"/>
    <mergeCell ref="K303:K307"/>
    <mergeCell ref="A308:A312"/>
    <mergeCell ref="B308:B312"/>
    <mergeCell ref="G308:G312"/>
    <mergeCell ref="H308:H312"/>
    <mergeCell ref="I308:I312"/>
    <mergeCell ref="J308:J312"/>
    <mergeCell ref="K308:K312"/>
    <mergeCell ref="A293:A297"/>
    <mergeCell ref="B293:B297"/>
    <mergeCell ref="G293:G297"/>
    <mergeCell ref="J293:J297"/>
    <mergeCell ref="K293:K297"/>
    <mergeCell ref="A298:A302"/>
    <mergeCell ref="B298:B302"/>
    <mergeCell ref="G298:G302"/>
    <mergeCell ref="J298:J302"/>
    <mergeCell ref="K298:K302"/>
    <mergeCell ref="J283:J287"/>
    <mergeCell ref="K283:K287"/>
    <mergeCell ref="A288:A292"/>
    <mergeCell ref="B288:B292"/>
    <mergeCell ref="G288:G292"/>
    <mergeCell ref="J288:J292"/>
    <mergeCell ref="K288:K292"/>
    <mergeCell ref="A278:A282"/>
    <mergeCell ref="B278:B282"/>
    <mergeCell ref="G278:G282"/>
    <mergeCell ref="J278:J282"/>
    <mergeCell ref="K278:K282"/>
    <mergeCell ref="A283:A287"/>
    <mergeCell ref="B283:B287"/>
    <mergeCell ref="G283:G287"/>
    <mergeCell ref="H283:H287"/>
    <mergeCell ref="I283:I287"/>
    <mergeCell ref="K268:K272"/>
    <mergeCell ref="A273:A277"/>
    <mergeCell ref="B273:B277"/>
    <mergeCell ref="G273:G277"/>
    <mergeCell ref="H273:H277"/>
    <mergeCell ref="I273:I277"/>
    <mergeCell ref="J273:J277"/>
    <mergeCell ref="K273:K277"/>
    <mergeCell ref="A268:A272"/>
    <mergeCell ref="B268:B272"/>
    <mergeCell ref="G268:G272"/>
    <mergeCell ref="H268:H272"/>
    <mergeCell ref="I268:I272"/>
    <mergeCell ref="J268:J272"/>
    <mergeCell ref="J258:J262"/>
    <mergeCell ref="K258:K262"/>
    <mergeCell ref="A263:A267"/>
    <mergeCell ref="B263:B267"/>
    <mergeCell ref="G263:G267"/>
    <mergeCell ref="J263:J267"/>
    <mergeCell ref="K263:K267"/>
    <mergeCell ref="A253:A257"/>
    <mergeCell ref="B253:B257"/>
    <mergeCell ref="G253:G257"/>
    <mergeCell ref="J253:J257"/>
    <mergeCell ref="K253:K257"/>
    <mergeCell ref="A258:A262"/>
    <mergeCell ref="B258:B262"/>
    <mergeCell ref="G258:G262"/>
    <mergeCell ref="H258:H262"/>
    <mergeCell ref="I258:I262"/>
    <mergeCell ref="A243:A247"/>
    <mergeCell ref="B243:B247"/>
    <mergeCell ref="G243:G247"/>
    <mergeCell ref="J243:J247"/>
    <mergeCell ref="K243:K247"/>
    <mergeCell ref="A248:A252"/>
    <mergeCell ref="B248:B252"/>
    <mergeCell ref="G248:G252"/>
    <mergeCell ref="J248:J252"/>
    <mergeCell ref="K248:K252"/>
    <mergeCell ref="K233:K237"/>
    <mergeCell ref="A238:A242"/>
    <mergeCell ref="B238:B242"/>
    <mergeCell ref="G238:G242"/>
    <mergeCell ref="H238:H242"/>
    <mergeCell ref="I238:I242"/>
    <mergeCell ref="J238:J242"/>
    <mergeCell ref="K238:K242"/>
    <mergeCell ref="A233:A237"/>
    <mergeCell ref="B233:B237"/>
    <mergeCell ref="G233:G237"/>
    <mergeCell ref="H233:H237"/>
    <mergeCell ref="I233:I237"/>
    <mergeCell ref="J233:J237"/>
    <mergeCell ref="A228:A232"/>
    <mergeCell ref="B228:B232"/>
    <mergeCell ref="G228:G232"/>
    <mergeCell ref="J228:J232"/>
    <mergeCell ref="K228:K232"/>
    <mergeCell ref="A218:A222"/>
    <mergeCell ref="B218:B222"/>
    <mergeCell ref="G218:G222"/>
    <mergeCell ref="J218:J222"/>
    <mergeCell ref="K218:K222"/>
    <mergeCell ref="A223:A227"/>
    <mergeCell ref="B223:B227"/>
    <mergeCell ref="G223:G227"/>
    <mergeCell ref="H223:H227"/>
    <mergeCell ref="I223:I227"/>
    <mergeCell ref="A213:A217"/>
    <mergeCell ref="B213:B217"/>
    <mergeCell ref="G213:G217"/>
    <mergeCell ref="H213:H217"/>
    <mergeCell ref="I213:I217"/>
    <mergeCell ref="J213:J217"/>
    <mergeCell ref="K213:K217"/>
    <mergeCell ref="J223:J227"/>
    <mergeCell ref="K223:K227"/>
    <mergeCell ref="A203:A207"/>
    <mergeCell ref="B203:B207"/>
    <mergeCell ref="G203:G207"/>
    <mergeCell ref="J203:J207"/>
    <mergeCell ref="K203:K207"/>
    <mergeCell ref="A208:A212"/>
    <mergeCell ref="B208:B212"/>
    <mergeCell ref="G208:G212"/>
    <mergeCell ref="H208:H212"/>
    <mergeCell ref="I208:I212"/>
    <mergeCell ref="J208:J212"/>
    <mergeCell ref="K208:K212"/>
    <mergeCell ref="J193:J197"/>
    <mergeCell ref="K193:K197"/>
    <mergeCell ref="A198:A202"/>
    <mergeCell ref="B198:B202"/>
    <mergeCell ref="G198:G202"/>
    <mergeCell ref="J198:J202"/>
    <mergeCell ref="K198:K202"/>
    <mergeCell ref="A188:A192"/>
    <mergeCell ref="B188:B192"/>
    <mergeCell ref="G188:G192"/>
    <mergeCell ref="J188:J192"/>
    <mergeCell ref="K188:K192"/>
    <mergeCell ref="A193:A197"/>
    <mergeCell ref="B193:B197"/>
    <mergeCell ref="G193:G197"/>
    <mergeCell ref="H193:H197"/>
    <mergeCell ref="I193:I197"/>
    <mergeCell ref="K178:K182"/>
    <mergeCell ref="A183:A187"/>
    <mergeCell ref="B183:B187"/>
    <mergeCell ref="G183:G187"/>
    <mergeCell ref="H183:H187"/>
    <mergeCell ref="I183:I187"/>
    <mergeCell ref="J183:J187"/>
    <mergeCell ref="K183:K187"/>
    <mergeCell ref="A178:A182"/>
    <mergeCell ref="B178:B182"/>
    <mergeCell ref="G178:G182"/>
    <mergeCell ref="H178:H182"/>
    <mergeCell ref="I178:I182"/>
    <mergeCell ref="J178:J182"/>
    <mergeCell ref="A163:A167"/>
    <mergeCell ref="B163:B167"/>
    <mergeCell ref="G163:G167"/>
    <mergeCell ref="J163:J167"/>
    <mergeCell ref="K163:K167"/>
    <mergeCell ref="K168:K172"/>
    <mergeCell ref="A173:A177"/>
    <mergeCell ref="B173:B177"/>
    <mergeCell ref="G173:G177"/>
    <mergeCell ref="J173:J177"/>
    <mergeCell ref="K173:K177"/>
    <mergeCell ref="A168:A172"/>
    <mergeCell ref="B168:B172"/>
    <mergeCell ref="G168:G172"/>
    <mergeCell ref="H168:H172"/>
    <mergeCell ref="I168:I172"/>
    <mergeCell ref="J168:J172"/>
    <mergeCell ref="A153:A157"/>
    <mergeCell ref="B153:B157"/>
    <mergeCell ref="G153:G157"/>
    <mergeCell ref="H153:H157"/>
    <mergeCell ref="I153:I157"/>
    <mergeCell ref="J153:J157"/>
    <mergeCell ref="K153:K157"/>
    <mergeCell ref="A158:A162"/>
    <mergeCell ref="B158:B162"/>
    <mergeCell ref="G158:G162"/>
    <mergeCell ref="J158:J162"/>
    <mergeCell ref="K158:K162"/>
    <mergeCell ref="A143:A147"/>
    <mergeCell ref="B143:B147"/>
    <mergeCell ref="G143:G147"/>
    <mergeCell ref="J143:J147"/>
    <mergeCell ref="K143:K147"/>
    <mergeCell ref="A148:A152"/>
    <mergeCell ref="B148:B152"/>
    <mergeCell ref="G148:G152"/>
    <mergeCell ref="H148:H152"/>
    <mergeCell ref="I148:I152"/>
    <mergeCell ref="J148:J152"/>
    <mergeCell ref="K148:K152"/>
    <mergeCell ref="A133:A137"/>
    <mergeCell ref="B133:B137"/>
    <mergeCell ref="G133:G137"/>
    <mergeCell ref="J133:J137"/>
    <mergeCell ref="K133:K137"/>
    <mergeCell ref="A138:A142"/>
    <mergeCell ref="B138:B142"/>
    <mergeCell ref="G138:G142"/>
    <mergeCell ref="J138:J142"/>
    <mergeCell ref="K138:K142"/>
    <mergeCell ref="A118:A122"/>
    <mergeCell ref="B118:B122"/>
    <mergeCell ref="G118:G122"/>
    <mergeCell ref="J118:J122"/>
    <mergeCell ref="K118:K122"/>
    <mergeCell ref="K123:K127"/>
    <mergeCell ref="A128:A132"/>
    <mergeCell ref="B128:B132"/>
    <mergeCell ref="G128:G132"/>
    <mergeCell ref="H128:H132"/>
    <mergeCell ref="I128:I132"/>
    <mergeCell ref="J128:J132"/>
    <mergeCell ref="K128:K132"/>
    <mergeCell ref="A123:A127"/>
    <mergeCell ref="B123:B127"/>
    <mergeCell ref="G123:G127"/>
    <mergeCell ref="H123:H127"/>
    <mergeCell ref="I123:I127"/>
    <mergeCell ref="J123:J127"/>
    <mergeCell ref="A108:A112"/>
    <mergeCell ref="B108:B112"/>
    <mergeCell ref="G108:G112"/>
    <mergeCell ref="H108:H112"/>
    <mergeCell ref="I108:I112"/>
    <mergeCell ref="J108:J112"/>
    <mergeCell ref="K108:K112"/>
    <mergeCell ref="A113:A117"/>
    <mergeCell ref="B113:B117"/>
    <mergeCell ref="G113:G117"/>
    <mergeCell ref="J113:J117"/>
    <mergeCell ref="K113:K117"/>
    <mergeCell ref="A98:A102"/>
    <mergeCell ref="B98:B102"/>
    <mergeCell ref="G98:G102"/>
    <mergeCell ref="J98:J102"/>
    <mergeCell ref="K98:K102"/>
    <mergeCell ref="A103:A107"/>
    <mergeCell ref="B103:B107"/>
    <mergeCell ref="G103:G107"/>
    <mergeCell ref="H103:H107"/>
    <mergeCell ref="I103:I107"/>
    <mergeCell ref="J103:J107"/>
    <mergeCell ref="K103:K107"/>
    <mergeCell ref="A88:A92"/>
    <mergeCell ref="B88:B92"/>
    <mergeCell ref="G88:G92"/>
    <mergeCell ref="J88:J92"/>
    <mergeCell ref="K88:K92"/>
    <mergeCell ref="A93:A97"/>
    <mergeCell ref="B93:B97"/>
    <mergeCell ref="G93:G97"/>
    <mergeCell ref="J93:J97"/>
    <mergeCell ref="K93:K97"/>
    <mergeCell ref="K78:K82"/>
    <mergeCell ref="A83:A87"/>
    <mergeCell ref="B83:B87"/>
    <mergeCell ref="G83:G87"/>
    <mergeCell ref="H83:H87"/>
    <mergeCell ref="I83:I87"/>
    <mergeCell ref="J83:J87"/>
    <mergeCell ref="K83:K87"/>
    <mergeCell ref="A78:A82"/>
    <mergeCell ref="B78:B82"/>
    <mergeCell ref="G78:G82"/>
    <mergeCell ref="H78:H82"/>
    <mergeCell ref="I78:I82"/>
    <mergeCell ref="J78:J82"/>
    <mergeCell ref="K68:K72"/>
    <mergeCell ref="A73:A77"/>
    <mergeCell ref="B73:B77"/>
    <mergeCell ref="G73:G77"/>
    <mergeCell ref="J73:J77"/>
    <mergeCell ref="K73:K77"/>
    <mergeCell ref="A68:A72"/>
    <mergeCell ref="B68:B72"/>
    <mergeCell ref="G68:G72"/>
    <mergeCell ref="H68:H72"/>
    <mergeCell ref="I68:I72"/>
    <mergeCell ref="J68:J72"/>
    <mergeCell ref="A58:A62"/>
    <mergeCell ref="B58:B62"/>
    <mergeCell ref="G58:G62"/>
    <mergeCell ref="J58:J62"/>
    <mergeCell ref="K58:K62"/>
    <mergeCell ref="A63:A67"/>
    <mergeCell ref="B63:B67"/>
    <mergeCell ref="G63:G67"/>
    <mergeCell ref="J63:J67"/>
    <mergeCell ref="K63:K67"/>
    <mergeCell ref="A43:A47"/>
    <mergeCell ref="B43:B47"/>
    <mergeCell ref="G43:G47"/>
    <mergeCell ref="J43:J47"/>
    <mergeCell ref="K43:K47"/>
    <mergeCell ref="K48:K52"/>
    <mergeCell ref="A53:A57"/>
    <mergeCell ref="B53:B57"/>
    <mergeCell ref="G53:G57"/>
    <mergeCell ref="H53:H57"/>
    <mergeCell ref="I53:I57"/>
    <mergeCell ref="J53:J57"/>
    <mergeCell ref="K53:K57"/>
    <mergeCell ref="A48:A52"/>
    <mergeCell ref="B48:B52"/>
    <mergeCell ref="G48:G52"/>
    <mergeCell ref="H48:H52"/>
    <mergeCell ref="I48:I52"/>
    <mergeCell ref="J48:J52"/>
    <mergeCell ref="A33:A37"/>
    <mergeCell ref="B33:B37"/>
    <mergeCell ref="G33:G37"/>
    <mergeCell ref="J33:J37"/>
    <mergeCell ref="K33:K37"/>
    <mergeCell ref="A38:A42"/>
    <mergeCell ref="B38:B42"/>
    <mergeCell ref="G38:G42"/>
    <mergeCell ref="J38:J42"/>
    <mergeCell ref="K38:K42"/>
    <mergeCell ref="A23:A27"/>
    <mergeCell ref="B23:B27"/>
    <mergeCell ref="G23:G27"/>
    <mergeCell ref="J23:J27"/>
    <mergeCell ref="K23:K27"/>
    <mergeCell ref="A28:A32"/>
    <mergeCell ref="B28:B32"/>
    <mergeCell ref="G28:G32"/>
    <mergeCell ref="J28:J32"/>
    <mergeCell ref="K28:K32"/>
    <mergeCell ref="A3:K3"/>
    <mergeCell ref="A16:A17"/>
    <mergeCell ref="B16:B17"/>
    <mergeCell ref="C16:E16"/>
    <mergeCell ref="F16:F17"/>
    <mergeCell ref="G16:I16"/>
    <mergeCell ref="J16:J17"/>
    <mergeCell ref="K16:K17"/>
    <mergeCell ref="A18:A22"/>
    <mergeCell ref="B18:B22"/>
    <mergeCell ref="G18:G22"/>
    <mergeCell ref="J18:J22"/>
    <mergeCell ref="K18:K22"/>
  </mergeCells>
  <pageMargins left="0.35433070866141736" right="0.27559055118110237" top="0.98425196850393704" bottom="0.15748031496062992" header="0.31496062992125984" footer="0.11811023622047245"/>
  <pageSetup paperSize="9" scale="77" fitToHeight="0" orientation="portrait" r:id="rId1"/>
  <headerFooter>
    <oddHeader>&amp;C&amp;"Times New Roman,обычный"&amp;10 7</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85"/>
  <sheetViews>
    <sheetView showGridLines="0" zoomScaleNormal="100" zoomScaleSheetLayoutView="100" workbookViewId="0">
      <pane ySplit="7" topLeftCell="A71" activePane="bottomLeft" state="frozen"/>
      <selection activeCell="N13" sqref="N13"/>
      <selection pane="bottomLeft" activeCell="N13" sqref="N13"/>
    </sheetView>
  </sheetViews>
  <sheetFormatPr defaultRowHeight="15" outlineLevelRow="4" x14ac:dyDescent="0.25"/>
  <cols>
    <col min="1" max="1" width="40" style="227" customWidth="1"/>
    <col min="2" max="2" width="10.7109375" style="227" hidden="1" customWidth="1"/>
    <col min="3" max="3" width="15.28515625" style="227" hidden="1" customWidth="1"/>
    <col min="4" max="4" width="13.5703125" style="227" customWidth="1"/>
    <col min="5" max="5" width="20.85546875" style="229" customWidth="1"/>
    <col min="6" max="6" width="16.5703125" style="229" hidden="1" customWidth="1"/>
    <col min="7" max="7" width="15.42578125" style="229" hidden="1" customWidth="1"/>
    <col min="8" max="8" width="18.140625" style="229" customWidth="1"/>
    <col min="9" max="9" width="14.7109375" style="229" customWidth="1"/>
    <col min="10" max="10" width="9.140625" style="232" customWidth="1"/>
    <col min="11" max="11" width="16.5703125" style="232" bestFit="1" customWidth="1"/>
    <col min="12" max="12" width="17.5703125" style="232" customWidth="1"/>
    <col min="13" max="13" width="13.5703125" style="232" bestFit="1" customWidth="1"/>
    <col min="14" max="14" width="11.42578125" style="232" bestFit="1" customWidth="1"/>
    <col min="15" max="22" width="9.140625" style="232"/>
    <col min="23" max="256" width="9.140625" style="195"/>
    <col min="257" max="257" width="40" style="195" customWidth="1"/>
    <col min="258" max="259" width="0" style="195" hidden="1" customWidth="1"/>
    <col min="260" max="260" width="13.5703125" style="195" customWidth="1"/>
    <col min="261" max="261" width="20.85546875" style="195" customWidth="1"/>
    <col min="262" max="263" width="0" style="195" hidden="1" customWidth="1"/>
    <col min="264" max="264" width="18.140625" style="195" customWidth="1"/>
    <col min="265" max="265" width="14.7109375" style="195" customWidth="1"/>
    <col min="266" max="266" width="9.140625" style="195" customWidth="1"/>
    <col min="267" max="268" width="15" style="195" bestFit="1" customWidth="1"/>
    <col min="269" max="269" width="13.5703125" style="195" bestFit="1" customWidth="1"/>
    <col min="270" max="270" width="11.42578125" style="195" bestFit="1" customWidth="1"/>
    <col min="271" max="512" width="9.140625" style="195"/>
    <col min="513" max="513" width="40" style="195" customWidth="1"/>
    <col min="514" max="515" width="0" style="195" hidden="1" customWidth="1"/>
    <col min="516" max="516" width="13.5703125" style="195" customWidth="1"/>
    <col min="517" max="517" width="20.85546875" style="195" customWidth="1"/>
    <col min="518" max="519" width="0" style="195" hidden="1" customWidth="1"/>
    <col min="520" max="520" width="18.140625" style="195" customWidth="1"/>
    <col min="521" max="521" width="14.7109375" style="195" customWidth="1"/>
    <col min="522" max="522" width="9.140625" style="195" customWidth="1"/>
    <col min="523" max="524" width="15" style="195" bestFit="1" customWidth="1"/>
    <col min="525" max="525" width="13.5703125" style="195" bestFit="1" customWidth="1"/>
    <col min="526" max="526" width="11.42578125" style="195" bestFit="1" customWidth="1"/>
    <col min="527" max="768" width="9.140625" style="195"/>
    <col min="769" max="769" width="40" style="195" customWidth="1"/>
    <col min="770" max="771" width="0" style="195" hidden="1" customWidth="1"/>
    <col min="772" max="772" width="13.5703125" style="195" customWidth="1"/>
    <col min="773" max="773" width="20.85546875" style="195" customWidth="1"/>
    <col min="774" max="775" width="0" style="195" hidden="1" customWidth="1"/>
    <col min="776" max="776" width="18.140625" style="195" customWidth="1"/>
    <col min="777" max="777" width="14.7109375" style="195" customWidth="1"/>
    <col min="778" max="778" width="9.140625" style="195" customWidth="1"/>
    <col min="779" max="780" width="15" style="195" bestFit="1" customWidth="1"/>
    <col min="781" max="781" width="13.5703125" style="195" bestFit="1" customWidth="1"/>
    <col min="782" max="782" width="11.42578125" style="195" bestFit="1" customWidth="1"/>
    <col min="783" max="1024" width="9.140625" style="195"/>
    <col min="1025" max="1025" width="40" style="195" customWidth="1"/>
    <col min="1026" max="1027" width="0" style="195" hidden="1" customWidth="1"/>
    <col min="1028" max="1028" width="13.5703125" style="195" customWidth="1"/>
    <col min="1029" max="1029" width="20.85546875" style="195" customWidth="1"/>
    <col min="1030" max="1031" width="0" style="195" hidden="1" customWidth="1"/>
    <col min="1032" max="1032" width="18.140625" style="195" customWidth="1"/>
    <col min="1033" max="1033" width="14.7109375" style="195" customWidth="1"/>
    <col min="1034" max="1034" width="9.140625" style="195" customWidth="1"/>
    <col min="1035" max="1036" width="15" style="195" bestFit="1" customWidth="1"/>
    <col min="1037" max="1037" width="13.5703125" style="195" bestFit="1" customWidth="1"/>
    <col min="1038" max="1038" width="11.42578125" style="195" bestFit="1" customWidth="1"/>
    <col min="1039" max="1280" width="9.140625" style="195"/>
    <col min="1281" max="1281" width="40" style="195" customWidth="1"/>
    <col min="1282" max="1283" width="0" style="195" hidden="1" customWidth="1"/>
    <col min="1284" max="1284" width="13.5703125" style="195" customWidth="1"/>
    <col min="1285" max="1285" width="20.85546875" style="195" customWidth="1"/>
    <col min="1286" max="1287" width="0" style="195" hidden="1" customWidth="1"/>
    <col min="1288" max="1288" width="18.140625" style="195" customWidth="1"/>
    <col min="1289" max="1289" width="14.7109375" style="195" customWidth="1"/>
    <col min="1290" max="1290" width="9.140625" style="195" customWidth="1"/>
    <col min="1291" max="1292" width="15" style="195" bestFit="1" customWidth="1"/>
    <col min="1293" max="1293" width="13.5703125" style="195" bestFit="1" customWidth="1"/>
    <col min="1294" max="1294" width="11.42578125" style="195" bestFit="1" customWidth="1"/>
    <col min="1295" max="1536" width="9.140625" style="195"/>
    <col min="1537" max="1537" width="40" style="195" customWidth="1"/>
    <col min="1538" max="1539" width="0" style="195" hidden="1" customWidth="1"/>
    <col min="1540" max="1540" width="13.5703125" style="195" customWidth="1"/>
    <col min="1541" max="1541" width="20.85546875" style="195" customWidth="1"/>
    <col min="1542" max="1543" width="0" style="195" hidden="1" customWidth="1"/>
    <col min="1544" max="1544" width="18.140625" style="195" customWidth="1"/>
    <col min="1545" max="1545" width="14.7109375" style="195" customWidth="1"/>
    <col min="1546" max="1546" width="9.140625" style="195" customWidth="1"/>
    <col min="1547" max="1548" width="15" style="195" bestFit="1" customWidth="1"/>
    <col min="1549" max="1549" width="13.5703125" style="195" bestFit="1" customWidth="1"/>
    <col min="1550" max="1550" width="11.42578125" style="195" bestFit="1" customWidth="1"/>
    <col min="1551" max="1792" width="9.140625" style="195"/>
    <col min="1793" max="1793" width="40" style="195" customWidth="1"/>
    <col min="1794" max="1795" width="0" style="195" hidden="1" customWidth="1"/>
    <col min="1796" max="1796" width="13.5703125" style="195" customWidth="1"/>
    <col min="1797" max="1797" width="20.85546875" style="195" customWidth="1"/>
    <col min="1798" max="1799" width="0" style="195" hidden="1" customWidth="1"/>
    <col min="1800" max="1800" width="18.140625" style="195" customWidth="1"/>
    <col min="1801" max="1801" width="14.7109375" style="195" customWidth="1"/>
    <col min="1802" max="1802" width="9.140625" style="195" customWidth="1"/>
    <col min="1803" max="1804" width="15" style="195" bestFit="1" customWidth="1"/>
    <col min="1805" max="1805" width="13.5703125" style="195" bestFit="1" customWidth="1"/>
    <col min="1806" max="1806" width="11.42578125" style="195" bestFit="1" customWidth="1"/>
    <col min="1807" max="2048" width="9.140625" style="195"/>
    <col min="2049" max="2049" width="40" style="195" customWidth="1"/>
    <col min="2050" max="2051" width="0" style="195" hidden="1" customWidth="1"/>
    <col min="2052" max="2052" width="13.5703125" style="195" customWidth="1"/>
    <col min="2053" max="2053" width="20.85546875" style="195" customWidth="1"/>
    <col min="2054" max="2055" width="0" style="195" hidden="1" customWidth="1"/>
    <col min="2056" max="2056" width="18.140625" style="195" customWidth="1"/>
    <col min="2057" max="2057" width="14.7109375" style="195" customWidth="1"/>
    <col min="2058" max="2058" width="9.140625" style="195" customWidth="1"/>
    <col min="2059" max="2060" width="15" style="195" bestFit="1" customWidth="1"/>
    <col min="2061" max="2061" width="13.5703125" style="195" bestFit="1" customWidth="1"/>
    <col min="2062" max="2062" width="11.42578125" style="195" bestFit="1" customWidth="1"/>
    <col min="2063" max="2304" width="9.140625" style="195"/>
    <col min="2305" max="2305" width="40" style="195" customWidth="1"/>
    <col min="2306" max="2307" width="0" style="195" hidden="1" customWidth="1"/>
    <col min="2308" max="2308" width="13.5703125" style="195" customWidth="1"/>
    <col min="2309" max="2309" width="20.85546875" style="195" customWidth="1"/>
    <col min="2310" max="2311" width="0" style="195" hidden="1" customWidth="1"/>
    <col min="2312" max="2312" width="18.140625" style="195" customWidth="1"/>
    <col min="2313" max="2313" width="14.7109375" style="195" customWidth="1"/>
    <col min="2314" max="2314" width="9.140625" style="195" customWidth="1"/>
    <col min="2315" max="2316" width="15" style="195" bestFit="1" customWidth="1"/>
    <col min="2317" max="2317" width="13.5703125" style="195" bestFit="1" customWidth="1"/>
    <col min="2318" max="2318" width="11.42578125" style="195" bestFit="1" customWidth="1"/>
    <col min="2319" max="2560" width="9.140625" style="195"/>
    <col min="2561" max="2561" width="40" style="195" customWidth="1"/>
    <col min="2562" max="2563" width="0" style="195" hidden="1" customWidth="1"/>
    <col min="2564" max="2564" width="13.5703125" style="195" customWidth="1"/>
    <col min="2565" max="2565" width="20.85546875" style="195" customWidth="1"/>
    <col min="2566" max="2567" width="0" style="195" hidden="1" customWidth="1"/>
    <col min="2568" max="2568" width="18.140625" style="195" customWidth="1"/>
    <col min="2569" max="2569" width="14.7109375" style="195" customWidth="1"/>
    <col min="2570" max="2570" width="9.140625" style="195" customWidth="1"/>
    <col min="2571" max="2572" width="15" style="195" bestFit="1" customWidth="1"/>
    <col min="2573" max="2573" width="13.5703125" style="195" bestFit="1" customWidth="1"/>
    <col min="2574" max="2574" width="11.42578125" style="195" bestFit="1" customWidth="1"/>
    <col min="2575" max="2816" width="9.140625" style="195"/>
    <col min="2817" max="2817" width="40" style="195" customWidth="1"/>
    <col min="2818" max="2819" width="0" style="195" hidden="1" customWidth="1"/>
    <col min="2820" max="2820" width="13.5703125" style="195" customWidth="1"/>
    <col min="2821" max="2821" width="20.85546875" style="195" customWidth="1"/>
    <col min="2822" max="2823" width="0" style="195" hidden="1" customWidth="1"/>
    <col min="2824" max="2824" width="18.140625" style="195" customWidth="1"/>
    <col min="2825" max="2825" width="14.7109375" style="195" customWidth="1"/>
    <col min="2826" max="2826" width="9.140625" style="195" customWidth="1"/>
    <col min="2827" max="2828" width="15" style="195" bestFit="1" customWidth="1"/>
    <col min="2829" max="2829" width="13.5703125" style="195" bestFit="1" customWidth="1"/>
    <col min="2830" max="2830" width="11.42578125" style="195" bestFit="1" customWidth="1"/>
    <col min="2831" max="3072" width="9.140625" style="195"/>
    <col min="3073" max="3073" width="40" style="195" customWidth="1"/>
    <col min="3074" max="3075" width="0" style="195" hidden="1" customWidth="1"/>
    <col min="3076" max="3076" width="13.5703125" style="195" customWidth="1"/>
    <col min="3077" max="3077" width="20.85546875" style="195" customWidth="1"/>
    <col min="3078" max="3079" width="0" style="195" hidden="1" customWidth="1"/>
    <col min="3080" max="3080" width="18.140625" style="195" customWidth="1"/>
    <col min="3081" max="3081" width="14.7109375" style="195" customWidth="1"/>
    <col min="3082" max="3082" width="9.140625" style="195" customWidth="1"/>
    <col min="3083" max="3084" width="15" style="195" bestFit="1" customWidth="1"/>
    <col min="3085" max="3085" width="13.5703125" style="195" bestFit="1" customWidth="1"/>
    <col min="3086" max="3086" width="11.42578125" style="195" bestFit="1" customWidth="1"/>
    <col min="3087" max="3328" width="9.140625" style="195"/>
    <col min="3329" max="3329" width="40" style="195" customWidth="1"/>
    <col min="3330" max="3331" width="0" style="195" hidden="1" customWidth="1"/>
    <col min="3332" max="3332" width="13.5703125" style="195" customWidth="1"/>
    <col min="3333" max="3333" width="20.85546875" style="195" customWidth="1"/>
    <col min="3334" max="3335" width="0" style="195" hidden="1" customWidth="1"/>
    <col min="3336" max="3336" width="18.140625" style="195" customWidth="1"/>
    <col min="3337" max="3337" width="14.7109375" style="195" customWidth="1"/>
    <col min="3338" max="3338" width="9.140625" style="195" customWidth="1"/>
    <col min="3339" max="3340" width="15" style="195" bestFit="1" customWidth="1"/>
    <col min="3341" max="3341" width="13.5703125" style="195" bestFit="1" customWidth="1"/>
    <col min="3342" max="3342" width="11.42578125" style="195" bestFit="1" customWidth="1"/>
    <col min="3343" max="3584" width="9.140625" style="195"/>
    <col min="3585" max="3585" width="40" style="195" customWidth="1"/>
    <col min="3586" max="3587" width="0" style="195" hidden="1" customWidth="1"/>
    <col min="3588" max="3588" width="13.5703125" style="195" customWidth="1"/>
    <col min="3589" max="3589" width="20.85546875" style="195" customWidth="1"/>
    <col min="3590" max="3591" width="0" style="195" hidden="1" customWidth="1"/>
    <col min="3592" max="3592" width="18.140625" style="195" customWidth="1"/>
    <col min="3593" max="3593" width="14.7109375" style="195" customWidth="1"/>
    <col min="3594" max="3594" width="9.140625" style="195" customWidth="1"/>
    <col min="3595" max="3596" width="15" style="195" bestFit="1" customWidth="1"/>
    <col min="3597" max="3597" width="13.5703125" style="195" bestFit="1" customWidth="1"/>
    <col min="3598" max="3598" width="11.42578125" style="195" bestFit="1" customWidth="1"/>
    <col min="3599" max="3840" width="9.140625" style="195"/>
    <col min="3841" max="3841" width="40" style="195" customWidth="1"/>
    <col min="3842" max="3843" width="0" style="195" hidden="1" customWidth="1"/>
    <col min="3844" max="3844" width="13.5703125" style="195" customWidth="1"/>
    <col min="3845" max="3845" width="20.85546875" style="195" customWidth="1"/>
    <col min="3846" max="3847" width="0" style="195" hidden="1" customWidth="1"/>
    <col min="3848" max="3848" width="18.140625" style="195" customWidth="1"/>
    <col min="3849" max="3849" width="14.7109375" style="195" customWidth="1"/>
    <col min="3850" max="3850" width="9.140625" style="195" customWidth="1"/>
    <col min="3851" max="3852" width="15" style="195" bestFit="1" customWidth="1"/>
    <col min="3853" max="3853" width="13.5703125" style="195" bestFit="1" customWidth="1"/>
    <col min="3854" max="3854" width="11.42578125" style="195" bestFit="1" customWidth="1"/>
    <col min="3855" max="4096" width="9.140625" style="195"/>
    <col min="4097" max="4097" width="40" style="195" customWidth="1"/>
    <col min="4098" max="4099" width="0" style="195" hidden="1" customWidth="1"/>
    <col min="4100" max="4100" width="13.5703125" style="195" customWidth="1"/>
    <col min="4101" max="4101" width="20.85546875" style="195" customWidth="1"/>
    <col min="4102" max="4103" width="0" style="195" hidden="1" customWidth="1"/>
    <col min="4104" max="4104" width="18.140625" style="195" customWidth="1"/>
    <col min="4105" max="4105" width="14.7109375" style="195" customWidth="1"/>
    <col min="4106" max="4106" width="9.140625" style="195" customWidth="1"/>
    <col min="4107" max="4108" width="15" style="195" bestFit="1" customWidth="1"/>
    <col min="4109" max="4109" width="13.5703125" style="195" bestFit="1" customWidth="1"/>
    <col min="4110" max="4110" width="11.42578125" style="195" bestFit="1" customWidth="1"/>
    <col min="4111" max="4352" width="9.140625" style="195"/>
    <col min="4353" max="4353" width="40" style="195" customWidth="1"/>
    <col min="4354" max="4355" width="0" style="195" hidden="1" customWidth="1"/>
    <col min="4356" max="4356" width="13.5703125" style="195" customWidth="1"/>
    <col min="4357" max="4357" width="20.85546875" style="195" customWidth="1"/>
    <col min="4358" max="4359" width="0" style="195" hidden="1" customWidth="1"/>
    <col min="4360" max="4360" width="18.140625" style="195" customWidth="1"/>
    <col min="4361" max="4361" width="14.7109375" style="195" customWidth="1"/>
    <col min="4362" max="4362" width="9.140625" style="195" customWidth="1"/>
    <col min="4363" max="4364" width="15" style="195" bestFit="1" customWidth="1"/>
    <col min="4365" max="4365" width="13.5703125" style="195" bestFit="1" customWidth="1"/>
    <col min="4366" max="4366" width="11.42578125" style="195" bestFit="1" customWidth="1"/>
    <col min="4367" max="4608" width="9.140625" style="195"/>
    <col min="4609" max="4609" width="40" style="195" customWidth="1"/>
    <col min="4610" max="4611" width="0" style="195" hidden="1" customWidth="1"/>
    <col min="4612" max="4612" width="13.5703125" style="195" customWidth="1"/>
    <col min="4613" max="4613" width="20.85546875" style="195" customWidth="1"/>
    <col min="4614" max="4615" width="0" style="195" hidden="1" customWidth="1"/>
    <col min="4616" max="4616" width="18.140625" style="195" customWidth="1"/>
    <col min="4617" max="4617" width="14.7109375" style="195" customWidth="1"/>
    <col min="4618" max="4618" width="9.140625" style="195" customWidth="1"/>
    <col min="4619" max="4620" width="15" style="195" bestFit="1" customWidth="1"/>
    <col min="4621" max="4621" width="13.5703125" style="195" bestFit="1" customWidth="1"/>
    <col min="4622" max="4622" width="11.42578125" style="195" bestFit="1" customWidth="1"/>
    <col min="4623" max="4864" width="9.140625" style="195"/>
    <col min="4865" max="4865" width="40" style="195" customWidth="1"/>
    <col min="4866" max="4867" width="0" style="195" hidden="1" customWidth="1"/>
    <col min="4868" max="4868" width="13.5703125" style="195" customWidth="1"/>
    <col min="4869" max="4869" width="20.85546875" style="195" customWidth="1"/>
    <col min="4870" max="4871" width="0" style="195" hidden="1" customWidth="1"/>
    <col min="4872" max="4872" width="18.140625" style="195" customWidth="1"/>
    <col min="4873" max="4873" width="14.7109375" style="195" customWidth="1"/>
    <col min="4874" max="4874" width="9.140625" style="195" customWidth="1"/>
    <col min="4875" max="4876" width="15" style="195" bestFit="1" customWidth="1"/>
    <col min="4877" max="4877" width="13.5703125" style="195" bestFit="1" customWidth="1"/>
    <col min="4878" max="4878" width="11.42578125" style="195" bestFit="1" customWidth="1"/>
    <col min="4879" max="5120" width="9.140625" style="195"/>
    <col min="5121" max="5121" width="40" style="195" customWidth="1"/>
    <col min="5122" max="5123" width="0" style="195" hidden="1" customWidth="1"/>
    <col min="5124" max="5124" width="13.5703125" style="195" customWidth="1"/>
    <col min="5125" max="5125" width="20.85546875" style="195" customWidth="1"/>
    <col min="5126" max="5127" width="0" style="195" hidden="1" customWidth="1"/>
    <col min="5128" max="5128" width="18.140625" style="195" customWidth="1"/>
    <col min="5129" max="5129" width="14.7109375" style="195" customWidth="1"/>
    <col min="5130" max="5130" width="9.140625" style="195" customWidth="1"/>
    <col min="5131" max="5132" width="15" style="195" bestFit="1" customWidth="1"/>
    <col min="5133" max="5133" width="13.5703125" style="195" bestFit="1" customWidth="1"/>
    <col min="5134" max="5134" width="11.42578125" style="195" bestFit="1" customWidth="1"/>
    <col min="5135" max="5376" width="9.140625" style="195"/>
    <col min="5377" max="5377" width="40" style="195" customWidth="1"/>
    <col min="5378" max="5379" width="0" style="195" hidden="1" customWidth="1"/>
    <col min="5380" max="5380" width="13.5703125" style="195" customWidth="1"/>
    <col min="5381" max="5381" width="20.85546875" style="195" customWidth="1"/>
    <col min="5382" max="5383" width="0" style="195" hidden="1" customWidth="1"/>
    <col min="5384" max="5384" width="18.140625" style="195" customWidth="1"/>
    <col min="5385" max="5385" width="14.7109375" style="195" customWidth="1"/>
    <col min="5386" max="5386" width="9.140625" style="195" customWidth="1"/>
    <col min="5387" max="5388" width="15" style="195" bestFit="1" customWidth="1"/>
    <col min="5389" max="5389" width="13.5703125" style="195" bestFit="1" customWidth="1"/>
    <col min="5390" max="5390" width="11.42578125" style="195" bestFit="1" customWidth="1"/>
    <col min="5391" max="5632" width="9.140625" style="195"/>
    <col min="5633" max="5633" width="40" style="195" customWidth="1"/>
    <col min="5634" max="5635" width="0" style="195" hidden="1" customWidth="1"/>
    <col min="5636" max="5636" width="13.5703125" style="195" customWidth="1"/>
    <col min="5637" max="5637" width="20.85546875" style="195" customWidth="1"/>
    <col min="5638" max="5639" width="0" style="195" hidden="1" customWidth="1"/>
    <col min="5640" max="5640" width="18.140625" style="195" customWidth="1"/>
    <col min="5641" max="5641" width="14.7109375" style="195" customWidth="1"/>
    <col min="5642" max="5642" width="9.140625" style="195" customWidth="1"/>
    <col min="5643" max="5644" width="15" style="195" bestFit="1" customWidth="1"/>
    <col min="5645" max="5645" width="13.5703125" style="195" bestFit="1" customWidth="1"/>
    <col min="5646" max="5646" width="11.42578125" style="195" bestFit="1" customWidth="1"/>
    <col min="5647" max="5888" width="9.140625" style="195"/>
    <col min="5889" max="5889" width="40" style="195" customWidth="1"/>
    <col min="5890" max="5891" width="0" style="195" hidden="1" customWidth="1"/>
    <col min="5892" max="5892" width="13.5703125" style="195" customWidth="1"/>
    <col min="5893" max="5893" width="20.85546875" style="195" customWidth="1"/>
    <col min="5894" max="5895" width="0" style="195" hidden="1" customWidth="1"/>
    <col min="5896" max="5896" width="18.140625" style="195" customWidth="1"/>
    <col min="5897" max="5897" width="14.7109375" style="195" customWidth="1"/>
    <col min="5898" max="5898" width="9.140625" style="195" customWidth="1"/>
    <col min="5899" max="5900" width="15" style="195" bestFit="1" customWidth="1"/>
    <col min="5901" max="5901" width="13.5703125" style="195" bestFit="1" customWidth="1"/>
    <col min="5902" max="5902" width="11.42578125" style="195" bestFit="1" customWidth="1"/>
    <col min="5903" max="6144" width="9.140625" style="195"/>
    <col min="6145" max="6145" width="40" style="195" customWidth="1"/>
    <col min="6146" max="6147" width="0" style="195" hidden="1" customWidth="1"/>
    <col min="6148" max="6148" width="13.5703125" style="195" customWidth="1"/>
    <col min="6149" max="6149" width="20.85546875" style="195" customWidth="1"/>
    <col min="6150" max="6151" width="0" style="195" hidden="1" customWidth="1"/>
    <col min="6152" max="6152" width="18.140625" style="195" customWidth="1"/>
    <col min="6153" max="6153" width="14.7109375" style="195" customWidth="1"/>
    <col min="6154" max="6154" width="9.140625" style="195" customWidth="1"/>
    <col min="6155" max="6156" width="15" style="195" bestFit="1" customWidth="1"/>
    <col min="6157" max="6157" width="13.5703125" style="195" bestFit="1" customWidth="1"/>
    <col min="6158" max="6158" width="11.42578125" style="195" bestFit="1" customWidth="1"/>
    <col min="6159" max="6400" width="9.140625" style="195"/>
    <col min="6401" max="6401" width="40" style="195" customWidth="1"/>
    <col min="6402" max="6403" width="0" style="195" hidden="1" customWidth="1"/>
    <col min="6404" max="6404" width="13.5703125" style="195" customWidth="1"/>
    <col min="6405" max="6405" width="20.85546875" style="195" customWidth="1"/>
    <col min="6406" max="6407" width="0" style="195" hidden="1" customWidth="1"/>
    <col min="6408" max="6408" width="18.140625" style="195" customWidth="1"/>
    <col min="6409" max="6409" width="14.7109375" style="195" customWidth="1"/>
    <col min="6410" max="6410" width="9.140625" style="195" customWidth="1"/>
    <col min="6411" max="6412" width="15" style="195" bestFit="1" customWidth="1"/>
    <col min="6413" max="6413" width="13.5703125" style="195" bestFit="1" customWidth="1"/>
    <col min="6414" max="6414" width="11.42578125" style="195" bestFit="1" customWidth="1"/>
    <col min="6415" max="6656" width="9.140625" style="195"/>
    <col min="6657" max="6657" width="40" style="195" customWidth="1"/>
    <col min="6658" max="6659" width="0" style="195" hidden="1" customWidth="1"/>
    <col min="6660" max="6660" width="13.5703125" style="195" customWidth="1"/>
    <col min="6661" max="6661" width="20.85546875" style="195" customWidth="1"/>
    <col min="6662" max="6663" width="0" style="195" hidden="1" customWidth="1"/>
    <col min="6664" max="6664" width="18.140625" style="195" customWidth="1"/>
    <col min="6665" max="6665" width="14.7109375" style="195" customWidth="1"/>
    <col min="6666" max="6666" width="9.140625" style="195" customWidth="1"/>
    <col min="6667" max="6668" width="15" style="195" bestFit="1" customWidth="1"/>
    <col min="6669" max="6669" width="13.5703125" style="195" bestFit="1" customWidth="1"/>
    <col min="6670" max="6670" width="11.42578125" style="195" bestFit="1" customWidth="1"/>
    <col min="6671" max="6912" width="9.140625" style="195"/>
    <col min="6913" max="6913" width="40" style="195" customWidth="1"/>
    <col min="6914" max="6915" width="0" style="195" hidden="1" customWidth="1"/>
    <col min="6916" max="6916" width="13.5703125" style="195" customWidth="1"/>
    <col min="6917" max="6917" width="20.85546875" style="195" customWidth="1"/>
    <col min="6918" max="6919" width="0" style="195" hidden="1" customWidth="1"/>
    <col min="6920" max="6920" width="18.140625" style="195" customWidth="1"/>
    <col min="6921" max="6921" width="14.7109375" style="195" customWidth="1"/>
    <col min="6922" max="6922" width="9.140625" style="195" customWidth="1"/>
    <col min="6923" max="6924" width="15" style="195" bestFit="1" customWidth="1"/>
    <col min="6925" max="6925" width="13.5703125" style="195" bestFit="1" customWidth="1"/>
    <col min="6926" max="6926" width="11.42578125" style="195" bestFit="1" customWidth="1"/>
    <col min="6927" max="7168" width="9.140625" style="195"/>
    <col min="7169" max="7169" width="40" style="195" customWidth="1"/>
    <col min="7170" max="7171" width="0" style="195" hidden="1" customWidth="1"/>
    <col min="7172" max="7172" width="13.5703125" style="195" customWidth="1"/>
    <col min="7173" max="7173" width="20.85546875" style="195" customWidth="1"/>
    <col min="7174" max="7175" width="0" style="195" hidden="1" customWidth="1"/>
    <col min="7176" max="7176" width="18.140625" style="195" customWidth="1"/>
    <col min="7177" max="7177" width="14.7109375" style="195" customWidth="1"/>
    <col min="7178" max="7178" width="9.140625" style="195" customWidth="1"/>
    <col min="7179" max="7180" width="15" style="195" bestFit="1" customWidth="1"/>
    <col min="7181" max="7181" width="13.5703125" style="195" bestFit="1" customWidth="1"/>
    <col min="7182" max="7182" width="11.42578125" style="195" bestFit="1" customWidth="1"/>
    <col min="7183" max="7424" width="9.140625" style="195"/>
    <col min="7425" max="7425" width="40" style="195" customWidth="1"/>
    <col min="7426" max="7427" width="0" style="195" hidden="1" customWidth="1"/>
    <col min="7428" max="7428" width="13.5703125" style="195" customWidth="1"/>
    <col min="7429" max="7429" width="20.85546875" style="195" customWidth="1"/>
    <col min="7430" max="7431" width="0" style="195" hidden="1" customWidth="1"/>
    <col min="7432" max="7432" width="18.140625" style="195" customWidth="1"/>
    <col min="7433" max="7433" width="14.7109375" style="195" customWidth="1"/>
    <col min="7434" max="7434" width="9.140625" style="195" customWidth="1"/>
    <col min="7435" max="7436" width="15" style="195" bestFit="1" customWidth="1"/>
    <col min="7437" max="7437" width="13.5703125" style="195" bestFit="1" customWidth="1"/>
    <col min="7438" max="7438" width="11.42578125" style="195" bestFit="1" customWidth="1"/>
    <col min="7439" max="7680" width="9.140625" style="195"/>
    <col min="7681" max="7681" width="40" style="195" customWidth="1"/>
    <col min="7682" max="7683" width="0" style="195" hidden="1" customWidth="1"/>
    <col min="7684" max="7684" width="13.5703125" style="195" customWidth="1"/>
    <col min="7685" max="7685" width="20.85546875" style="195" customWidth="1"/>
    <col min="7686" max="7687" width="0" style="195" hidden="1" customWidth="1"/>
    <col min="7688" max="7688" width="18.140625" style="195" customWidth="1"/>
    <col min="7689" max="7689" width="14.7109375" style="195" customWidth="1"/>
    <col min="7690" max="7690" width="9.140625" style="195" customWidth="1"/>
    <col min="7691" max="7692" width="15" style="195" bestFit="1" customWidth="1"/>
    <col min="7693" max="7693" width="13.5703125" style="195" bestFit="1" customWidth="1"/>
    <col min="7694" max="7694" width="11.42578125" style="195" bestFit="1" customWidth="1"/>
    <col min="7695" max="7936" width="9.140625" style="195"/>
    <col min="7937" max="7937" width="40" style="195" customWidth="1"/>
    <col min="7938" max="7939" width="0" style="195" hidden="1" customWidth="1"/>
    <col min="7940" max="7940" width="13.5703125" style="195" customWidth="1"/>
    <col min="7941" max="7941" width="20.85546875" style="195" customWidth="1"/>
    <col min="7942" max="7943" width="0" style="195" hidden="1" customWidth="1"/>
    <col min="7944" max="7944" width="18.140625" style="195" customWidth="1"/>
    <col min="7945" max="7945" width="14.7109375" style="195" customWidth="1"/>
    <col min="7946" max="7946" width="9.140625" style="195" customWidth="1"/>
    <col min="7947" max="7948" width="15" style="195" bestFit="1" customWidth="1"/>
    <col min="7949" max="7949" width="13.5703125" style="195" bestFit="1" customWidth="1"/>
    <col min="7950" max="7950" width="11.42578125" style="195" bestFit="1" customWidth="1"/>
    <col min="7951" max="8192" width="9.140625" style="195"/>
    <col min="8193" max="8193" width="40" style="195" customWidth="1"/>
    <col min="8194" max="8195" width="0" style="195" hidden="1" customWidth="1"/>
    <col min="8196" max="8196" width="13.5703125" style="195" customWidth="1"/>
    <col min="8197" max="8197" width="20.85546875" style="195" customWidth="1"/>
    <col min="8198" max="8199" width="0" style="195" hidden="1" customWidth="1"/>
    <col min="8200" max="8200" width="18.140625" style="195" customWidth="1"/>
    <col min="8201" max="8201" width="14.7109375" style="195" customWidth="1"/>
    <col min="8202" max="8202" width="9.140625" style="195" customWidth="1"/>
    <col min="8203" max="8204" width="15" style="195" bestFit="1" customWidth="1"/>
    <col min="8205" max="8205" width="13.5703125" style="195" bestFit="1" customWidth="1"/>
    <col min="8206" max="8206" width="11.42578125" style="195" bestFit="1" customWidth="1"/>
    <col min="8207" max="8448" width="9.140625" style="195"/>
    <col min="8449" max="8449" width="40" style="195" customWidth="1"/>
    <col min="8450" max="8451" width="0" style="195" hidden="1" customWidth="1"/>
    <col min="8452" max="8452" width="13.5703125" style="195" customWidth="1"/>
    <col min="8453" max="8453" width="20.85546875" style="195" customWidth="1"/>
    <col min="8454" max="8455" width="0" style="195" hidden="1" customWidth="1"/>
    <col min="8456" max="8456" width="18.140625" style="195" customWidth="1"/>
    <col min="8457" max="8457" width="14.7109375" style="195" customWidth="1"/>
    <col min="8458" max="8458" width="9.140625" style="195" customWidth="1"/>
    <col min="8459" max="8460" width="15" style="195" bestFit="1" customWidth="1"/>
    <col min="8461" max="8461" width="13.5703125" style="195" bestFit="1" customWidth="1"/>
    <col min="8462" max="8462" width="11.42578125" style="195" bestFit="1" customWidth="1"/>
    <col min="8463" max="8704" width="9.140625" style="195"/>
    <col min="8705" max="8705" width="40" style="195" customWidth="1"/>
    <col min="8706" max="8707" width="0" style="195" hidden="1" customWidth="1"/>
    <col min="8708" max="8708" width="13.5703125" style="195" customWidth="1"/>
    <col min="8709" max="8709" width="20.85546875" style="195" customWidth="1"/>
    <col min="8710" max="8711" width="0" style="195" hidden="1" customWidth="1"/>
    <col min="8712" max="8712" width="18.140625" style="195" customWidth="1"/>
    <col min="8713" max="8713" width="14.7109375" style="195" customWidth="1"/>
    <col min="8714" max="8714" width="9.140625" style="195" customWidth="1"/>
    <col min="8715" max="8716" width="15" style="195" bestFit="1" customWidth="1"/>
    <col min="8717" max="8717" width="13.5703125" style="195" bestFit="1" customWidth="1"/>
    <col min="8718" max="8718" width="11.42578125" style="195" bestFit="1" customWidth="1"/>
    <col min="8719" max="8960" width="9.140625" style="195"/>
    <col min="8961" max="8961" width="40" style="195" customWidth="1"/>
    <col min="8962" max="8963" width="0" style="195" hidden="1" customWidth="1"/>
    <col min="8964" max="8964" width="13.5703125" style="195" customWidth="1"/>
    <col min="8965" max="8965" width="20.85546875" style="195" customWidth="1"/>
    <col min="8966" max="8967" width="0" style="195" hidden="1" customWidth="1"/>
    <col min="8968" max="8968" width="18.140625" style="195" customWidth="1"/>
    <col min="8969" max="8969" width="14.7109375" style="195" customWidth="1"/>
    <col min="8970" max="8970" width="9.140625" style="195" customWidth="1"/>
    <col min="8971" max="8972" width="15" style="195" bestFit="1" customWidth="1"/>
    <col min="8973" max="8973" width="13.5703125" style="195" bestFit="1" customWidth="1"/>
    <col min="8974" max="8974" width="11.42578125" style="195" bestFit="1" customWidth="1"/>
    <col min="8975" max="9216" width="9.140625" style="195"/>
    <col min="9217" max="9217" width="40" style="195" customWidth="1"/>
    <col min="9218" max="9219" width="0" style="195" hidden="1" customWidth="1"/>
    <col min="9220" max="9220" width="13.5703125" style="195" customWidth="1"/>
    <col min="9221" max="9221" width="20.85546875" style="195" customWidth="1"/>
    <col min="9222" max="9223" width="0" style="195" hidden="1" customWidth="1"/>
    <col min="9224" max="9224" width="18.140625" style="195" customWidth="1"/>
    <col min="9225" max="9225" width="14.7109375" style="195" customWidth="1"/>
    <col min="9226" max="9226" width="9.140625" style="195" customWidth="1"/>
    <col min="9227" max="9228" width="15" style="195" bestFit="1" customWidth="1"/>
    <col min="9229" max="9229" width="13.5703125" style="195" bestFit="1" customWidth="1"/>
    <col min="9230" max="9230" width="11.42578125" style="195" bestFit="1" customWidth="1"/>
    <col min="9231" max="9472" width="9.140625" style="195"/>
    <col min="9473" max="9473" width="40" style="195" customWidth="1"/>
    <col min="9474" max="9475" width="0" style="195" hidden="1" customWidth="1"/>
    <col min="9476" max="9476" width="13.5703125" style="195" customWidth="1"/>
    <col min="9477" max="9477" width="20.85546875" style="195" customWidth="1"/>
    <col min="9478" max="9479" width="0" style="195" hidden="1" customWidth="1"/>
    <col min="9480" max="9480" width="18.140625" style="195" customWidth="1"/>
    <col min="9481" max="9481" width="14.7109375" style="195" customWidth="1"/>
    <col min="9482" max="9482" width="9.140625" style="195" customWidth="1"/>
    <col min="9483" max="9484" width="15" style="195" bestFit="1" customWidth="1"/>
    <col min="9485" max="9485" width="13.5703125" style="195" bestFit="1" customWidth="1"/>
    <col min="9486" max="9486" width="11.42578125" style="195" bestFit="1" customWidth="1"/>
    <col min="9487" max="9728" width="9.140625" style="195"/>
    <col min="9729" max="9729" width="40" style="195" customWidth="1"/>
    <col min="9730" max="9731" width="0" style="195" hidden="1" customWidth="1"/>
    <col min="9732" max="9732" width="13.5703125" style="195" customWidth="1"/>
    <col min="9733" max="9733" width="20.85546875" style="195" customWidth="1"/>
    <col min="9734" max="9735" width="0" style="195" hidden="1" customWidth="1"/>
    <col min="9736" max="9736" width="18.140625" style="195" customWidth="1"/>
    <col min="9737" max="9737" width="14.7109375" style="195" customWidth="1"/>
    <col min="9738" max="9738" width="9.140625" style="195" customWidth="1"/>
    <col min="9739" max="9740" width="15" style="195" bestFit="1" customWidth="1"/>
    <col min="9741" max="9741" width="13.5703125" style="195" bestFit="1" customWidth="1"/>
    <col min="9742" max="9742" width="11.42578125" style="195" bestFit="1" customWidth="1"/>
    <col min="9743" max="9984" width="9.140625" style="195"/>
    <col min="9985" max="9985" width="40" style="195" customWidth="1"/>
    <col min="9986" max="9987" width="0" style="195" hidden="1" customWidth="1"/>
    <col min="9988" max="9988" width="13.5703125" style="195" customWidth="1"/>
    <col min="9989" max="9989" width="20.85546875" style="195" customWidth="1"/>
    <col min="9990" max="9991" width="0" style="195" hidden="1" customWidth="1"/>
    <col min="9992" max="9992" width="18.140625" style="195" customWidth="1"/>
    <col min="9993" max="9993" width="14.7109375" style="195" customWidth="1"/>
    <col min="9994" max="9994" width="9.140625" style="195" customWidth="1"/>
    <col min="9995" max="9996" width="15" style="195" bestFit="1" customWidth="1"/>
    <col min="9997" max="9997" width="13.5703125" style="195" bestFit="1" customWidth="1"/>
    <col min="9998" max="9998" width="11.42578125" style="195" bestFit="1" customWidth="1"/>
    <col min="9999" max="10240" width="9.140625" style="195"/>
    <col min="10241" max="10241" width="40" style="195" customWidth="1"/>
    <col min="10242" max="10243" width="0" style="195" hidden="1" customWidth="1"/>
    <col min="10244" max="10244" width="13.5703125" style="195" customWidth="1"/>
    <col min="10245" max="10245" width="20.85546875" style="195" customWidth="1"/>
    <col min="10246" max="10247" width="0" style="195" hidden="1" customWidth="1"/>
    <col min="10248" max="10248" width="18.140625" style="195" customWidth="1"/>
    <col min="10249" max="10249" width="14.7109375" style="195" customWidth="1"/>
    <col min="10250" max="10250" width="9.140625" style="195" customWidth="1"/>
    <col min="10251" max="10252" width="15" style="195" bestFit="1" customWidth="1"/>
    <col min="10253" max="10253" width="13.5703125" style="195" bestFit="1" customWidth="1"/>
    <col min="10254" max="10254" width="11.42578125" style="195" bestFit="1" customWidth="1"/>
    <col min="10255" max="10496" width="9.140625" style="195"/>
    <col min="10497" max="10497" width="40" style="195" customWidth="1"/>
    <col min="10498" max="10499" width="0" style="195" hidden="1" customWidth="1"/>
    <col min="10500" max="10500" width="13.5703125" style="195" customWidth="1"/>
    <col min="10501" max="10501" width="20.85546875" style="195" customWidth="1"/>
    <col min="10502" max="10503" width="0" style="195" hidden="1" customWidth="1"/>
    <col min="10504" max="10504" width="18.140625" style="195" customWidth="1"/>
    <col min="10505" max="10505" width="14.7109375" style="195" customWidth="1"/>
    <col min="10506" max="10506" width="9.140625" style="195" customWidth="1"/>
    <col min="10507" max="10508" width="15" style="195" bestFit="1" customWidth="1"/>
    <col min="10509" max="10509" width="13.5703125" style="195" bestFit="1" customWidth="1"/>
    <col min="10510" max="10510" width="11.42578125" style="195" bestFit="1" customWidth="1"/>
    <col min="10511" max="10752" width="9.140625" style="195"/>
    <col min="10753" max="10753" width="40" style="195" customWidth="1"/>
    <col min="10754" max="10755" width="0" style="195" hidden="1" customWidth="1"/>
    <col min="10756" max="10756" width="13.5703125" style="195" customWidth="1"/>
    <col min="10757" max="10757" width="20.85546875" style="195" customWidth="1"/>
    <col min="10758" max="10759" width="0" style="195" hidden="1" customWidth="1"/>
    <col min="10760" max="10760" width="18.140625" style="195" customWidth="1"/>
    <col min="10761" max="10761" width="14.7109375" style="195" customWidth="1"/>
    <col min="10762" max="10762" width="9.140625" style="195" customWidth="1"/>
    <col min="10763" max="10764" width="15" style="195" bestFit="1" customWidth="1"/>
    <col min="10765" max="10765" width="13.5703125" style="195" bestFit="1" customWidth="1"/>
    <col min="10766" max="10766" width="11.42578125" style="195" bestFit="1" customWidth="1"/>
    <col min="10767" max="11008" width="9.140625" style="195"/>
    <col min="11009" max="11009" width="40" style="195" customWidth="1"/>
    <col min="11010" max="11011" width="0" style="195" hidden="1" customWidth="1"/>
    <col min="11012" max="11012" width="13.5703125" style="195" customWidth="1"/>
    <col min="11013" max="11013" width="20.85546875" style="195" customWidth="1"/>
    <col min="11014" max="11015" width="0" style="195" hidden="1" customWidth="1"/>
    <col min="11016" max="11016" width="18.140625" style="195" customWidth="1"/>
    <col min="11017" max="11017" width="14.7109375" style="195" customWidth="1"/>
    <col min="11018" max="11018" width="9.140625" style="195" customWidth="1"/>
    <col min="11019" max="11020" width="15" style="195" bestFit="1" customWidth="1"/>
    <col min="11021" max="11021" width="13.5703125" style="195" bestFit="1" customWidth="1"/>
    <col min="11022" max="11022" width="11.42578125" style="195" bestFit="1" customWidth="1"/>
    <col min="11023" max="11264" width="9.140625" style="195"/>
    <col min="11265" max="11265" width="40" style="195" customWidth="1"/>
    <col min="11266" max="11267" width="0" style="195" hidden="1" customWidth="1"/>
    <col min="11268" max="11268" width="13.5703125" style="195" customWidth="1"/>
    <col min="11269" max="11269" width="20.85546875" style="195" customWidth="1"/>
    <col min="11270" max="11271" width="0" style="195" hidden="1" customWidth="1"/>
    <col min="11272" max="11272" width="18.140625" style="195" customWidth="1"/>
    <col min="11273" max="11273" width="14.7109375" style="195" customWidth="1"/>
    <col min="11274" max="11274" width="9.140625" style="195" customWidth="1"/>
    <col min="11275" max="11276" width="15" style="195" bestFit="1" customWidth="1"/>
    <col min="11277" max="11277" width="13.5703125" style="195" bestFit="1" customWidth="1"/>
    <col min="11278" max="11278" width="11.42578125" style="195" bestFit="1" customWidth="1"/>
    <col min="11279" max="11520" width="9.140625" style="195"/>
    <col min="11521" max="11521" width="40" style="195" customWidth="1"/>
    <col min="11522" max="11523" width="0" style="195" hidden="1" customWidth="1"/>
    <col min="11524" max="11524" width="13.5703125" style="195" customWidth="1"/>
    <col min="11525" max="11525" width="20.85546875" style="195" customWidth="1"/>
    <col min="11526" max="11527" width="0" style="195" hidden="1" customWidth="1"/>
    <col min="11528" max="11528" width="18.140625" style="195" customWidth="1"/>
    <col min="11529" max="11529" width="14.7109375" style="195" customWidth="1"/>
    <col min="11530" max="11530" width="9.140625" style="195" customWidth="1"/>
    <col min="11531" max="11532" width="15" style="195" bestFit="1" customWidth="1"/>
    <col min="11533" max="11533" width="13.5703125" style="195" bestFit="1" customWidth="1"/>
    <col min="11534" max="11534" width="11.42578125" style="195" bestFit="1" customWidth="1"/>
    <col min="11535" max="11776" width="9.140625" style="195"/>
    <col min="11777" max="11777" width="40" style="195" customWidth="1"/>
    <col min="11778" max="11779" width="0" style="195" hidden="1" customWidth="1"/>
    <col min="11780" max="11780" width="13.5703125" style="195" customWidth="1"/>
    <col min="11781" max="11781" width="20.85546875" style="195" customWidth="1"/>
    <col min="11782" max="11783" width="0" style="195" hidden="1" customWidth="1"/>
    <col min="11784" max="11784" width="18.140625" style="195" customWidth="1"/>
    <col min="11785" max="11785" width="14.7109375" style="195" customWidth="1"/>
    <col min="11786" max="11786" width="9.140625" style="195" customWidth="1"/>
    <col min="11787" max="11788" width="15" style="195" bestFit="1" customWidth="1"/>
    <col min="11789" max="11789" width="13.5703125" style="195" bestFit="1" customWidth="1"/>
    <col min="11790" max="11790" width="11.42578125" style="195" bestFit="1" customWidth="1"/>
    <col min="11791" max="12032" width="9.140625" style="195"/>
    <col min="12033" max="12033" width="40" style="195" customWidth="1"/>
    <col min="12034" max="12035" width="0" style="195" hidden="1" customWidth="1"/>
    <col min="12036" max="12036" width="13.5703125" style="195" customWidth="1"/>
    <col min="12037" max="12037" width="20.85546875" style="195" customWidth="1"/>
    <col min="12038" max="12039" width="0" style="195" hidden="1" customWidth="1"/>
    <col min="12040" max="12040" width="18.140625" style="195" customWidth="1"/>
    <col min="12041" max="12041" width="14.7109375" style="195" customWidth="1"/>
    <col min="12042" max="12042" width="9.140625" style="195" customWidth="1"/>
    <col min="12043" max="12044" width="15" style="195" bestFit="1" customWidth="1"/>
    <col min="12045" max="12045" width="13.5703125" style="195" bestFit="1" customWidth="1"/>
    <col min="12046" max="12046" width="11.42578125" style="195" bestFit="1" customWidth="1"/>
    <col min="12047" max="12288" width="9.140625" style="195"/>
    <col min="12289" max="12289" width="40" style="195" customWidth="1"/>
    <col min="12290" max="12291" width="0" style="195" hidden="1" customWidth="1"/>
    <col min="12292" max="12292" width="13.5703125" style="195" customWidth="1"/>
    <col min="12293" max="12293" width="20.85546875" style="195" customWidth="1"/>
    <col min="12294" max="12295" width="0" style="195" hidden="1" customWidth="1"/>
    <col min="12296" max="12296" width="18.140625" style="195" customWidth="1"/>
    <col min="12297" max="12297" width="14.7109375" style="195" customWidth="1"/>
    <col min="12298" max="12298" width="9.140625" style="195" customWidth="1"/>
    <col min="12299" max="12300" width="15" style="195" bestFit="1" customWidth="1"/>
    <col min="12301" max="12301" width="13.5703125" style="195" bestFit="1" customWidth="1"/>
    <col min="12302" max="12302" width="11.42578125" style="195" bestFit="1" customWidth="1"/>
    <col min="12303" max="12544" width="9.140625" style="195"/>
    <col min="12545" max="12545" width="40" style="195" customWidth="1"/>
    <col min="12546" max="12547" width="0" style="195" hidden="1" customWidth="1"/>
    <col min="12548" max="12548" width="13.5703125" style="195" customWidth="1"/>
    <col min="12549" max="12549" width="20.85546875" style="195" customWidth="1"/>
    <col min="12550" max="12551" width="0" style="195" hidden="1" customWidth="1"/>
    <col min="12552" max="12552" width="18.140625" style="195" customWidth="1"/>
    <col min="12553" max="12553" width="14.7109375" style="195" customWidth="1"/>
    <col min="12554" max="12554" width="9.140625" style="195" customWidth="1"/>
    <col min="12555" max="12556" width="15" style="195" bestFit="1" customWidth="1"/>
    <col min="12557" max="12557" width="13.5703125" style="195" bestFit="1" customWidth="1"/>
    <col min="12558" max="12558" width="11.42578125" style="195" bestFit="1" customWidth="1"/>
    <col min="12559" max="12800" width="9.140625" style="195"/>
    <col min="12801" max="12801" width="40" style="195" customWidth="1"/>
    <col min="12802" max="12803" width="0" style="195" hidden="1" customWidth="1"/>
    <col min="12804" max="12804" width="13.5703125" style="195" customWidth="1"/>
    <col min="12805" max="12805" width="20.85546875" style="195" customWidth="1"/>
    <col min="12806" max="12807" width="0" style="195" hidden="1" customWidth="1"/>
    <col min="12808" max="12808" width="18.140625" style="195" customWidth="1"/>
    <col min="12809" max="12809" width="14.7109375" style="195" customWidth="1"/>
    <col min="12810" max="12810" width="9.140625" style="195" customWidth="1"/>
    <col min="12811" max="12812" width="15" style="195" bestFit="1" customWidth="1"/>
    <col min="12813" max="12813" width="13.5703125" style="195" bestFit="1" customWidth="1"/>
    <col min="12814" max="12814" width="11.42578125" style="195" bestFit="1" customWidth="1"/>
    <col min="12815" max="13056" width="9.140625" style="195"/>
    <col min="13057" max="13057" width="40" style="195" customWidth="1"/>
    <col min="13058" max="13059" width="0" style="195" hidden="1" customWidth="1"/>
    <col min="13060" max="13060" width="13.5703125" style="195" customWidth="1"/>
    <col min="13061" max="13061" width="20.85546875" style="195" customWidth="1"/>
    <col min="13062" max="13063" width="0" style="195" hidden="1" customWidth="1"/>
    <col min="13064" max="13064" width="18.140625" style="195" customWidth="1"/>
    <col min="13065" max="13065" width="14.7109375" style="195" customWidth="1"/>
    <col min="13066" max="13066" width="9.140625" style="195" customWidth="1"/>
    <col min="13067" max="13068" width="15" style="195" bestFit="1" customWidth="1"/>
    <col min="13069" max="13069" width="13.5703125" style="195" bestFit="1" customWidth="1"/>
    <col min="13070" max="13070" width="11.42578125" style="195" bestFit="1" customWidth="1"/>
    <col min="13071" max="13312" width="9.140625" style="195"/>
    <col min="13313" max="13313" width="40" style="195" customWidth="1"/>
    <col min="13314" max="13315" width="0" style="195" hidden="1" customWidth="1"/>
    <col min="13316" max="13316" width="13.5703125" style="195" customWidth="1"/>
    <col min="13317" max="13317" width="20.85546875" style="195" customWidth="1"/>
    <col min="13318" max="13319" width="0" style="195" hidden="1" customWidth="1"/>
    <col min="13320" max="13320" width="18.140625" style="195" customWidth="1"/>
    <col min="13321" max="13321" width="14.7109375" style="195" customWidth="1"/>
    <col min="13322" max="13322" width="9.140625" style="195" customWidth="1"/>
    <col min="13323" max="13324" width="15" style="195" bestFit="1" customWidth="1"/>
    <col min="13325" max="13325" width="13.5703125" style="195" bestFit="1" customWidth="1"/>
    <col min="13326" max="13326" width="11.42578125" style="195" bestFit="1" customWidth="1"/>
    <col min="13327" max="13568" width="9.140625" style="195"/>
    <col min="13569" max="13569" width="40" style="195" customWidth="1"/>
    <col min="13570" max="13571" width="0" style="195" hidden="1" customWidth="1"/>
    <col min="13572" max="13572" width="13.5703125" style="195" customWidth="1"/>
    <col min="13573" max="13573" width="20.85546875" style="195" customWidth="1"/>
    <col min="13574" max="13575" width="0" style="195" hidden="1" customWidth="1"/>
    <col min="13576" max="13576" width="18.140625" style="195" customWidth="1"/>
    <col min="13577" max="13577" width="14.7109375" style="195" customWidth="1"/>
    <col min="13578" max="13578" width="9.140625" style="195" customWidth="1"/>
    <col min="13579" max="13580" width="15" style="195" bestFit="1" customWidth="1"/>
    <col min="13581" max="13581" width="13.5703125" style="195" bestFit="1" customWidth="1"/>
    <col min="13582" max="13582" width="11.42578125" style="195" bestFit="1" customWidth="1"/>
    <col min="13583" max="13824" width="9.140625" style="195"/>
    <col min="13825" max="13825" width="40" style="195" customWidth="1"/>
    <col min="13826" max="13827" width="0" style="195" hidden="1" customWidth="1"/>
    <col min="13828" max="13828" width="13.5703125" style="195" customWidth="1"/>
    <col min="13829" max="13829" width="20.85546875" style="195" customWidth="1"/>
    <col min="13830" max="13831" width="0" style="195" hidden="1" customWidth="1"/>
    <col min="13832" max="13832" width="18.140625" style="195" customWidth="1"/>
    <col min="13833" max="13833" width="14.7109375" style="195" customWidth="1"/>
    <col min="13834" max="13834" width="9.140625" style="195" customWidth="1"/>
    <col min="13835" max="13836" width="15" style="195" bestFit="1" customWidth="1"/>
    <col min="13837" max="13837" width="13.5703125" style="195" bestFit="1" customWidth="1"/>
    <col min="13838" max="13838" width="11.42578125" style="195" bestFit="1" customWidth="1"/>
    <col min="13839" max="14080" width="9.140625" style="195"/>
    <col min="14081" max="14081" width="40" style="195" customWidth="1"/>
    <col min="14082" max="14083" width="0" style="195" hidden="1" customWidth="1"/>
    <col min="14084" max="14084" width="13.5703125" style="195" customWidth="1"/>
    <col min="14085" max="14085" width="20.85546875" style="195" customWidth="1"/>
    <col min="14086" max="14087" width="0" style="195" hidden="1" customWidth="1"/>
    <col min="14088" max="14088" width="18.140625" style="195" customWidth="1"/>
    <col min="14089" max="14089" width="14.7109375" style="195" customWidth="1"/>
    <col min="14090" max="14090" width="9.140625" style="195" customWidth="1"/>
    <col min="14091" max="14092" width="15" style="195" bestFit="1" customWidth="1"/>
    <col min="14093" max="14093" width="13.5703125" style="195" bestFit="1" customWidth="1"/>
    <col min="14094" max="14094" width="11.42578125" style="195" bestFit="1" customWidth="1"/>
    <col min="14095" max="14336" width="9.140625" style="195"/>
    <col min="14337" max="14337" width="40" style="195" customWidth="1"/>
    <col min="14338" max="14339" width="0" style="195" hidden="1" customWidth="1"/>
    <col min="14340" max="14340" width="13.5703125" style="195" customWidth="1"/>
    <col min="14341" max="14341" width="20.85546875" style="195" customWidth="1"/>
    <col min="14342" max="14343" width="0" style="195" hidden="1" customWidth="1"/>
    <col min="14344" max="14344" width="18.140625" style="195" customWidth="1"/>
    <col min="14345" max="14345" width="14.7109375" style="195" customWidth="1"/>
    <col min="14346" max="14346" width="9.140625" style="195" customWidth="1"/>
    <col min="14347" max="14348" width="15" style="195" bestFit="1" customWidth="1"/>
    <col min="14349" max="14349" width="13.5703125" style="195" bestFit="1" customWidth="1"/>
    <col min="14350" max="14350" width="11.42578125" style="195" bestFit="1" customWidth="1"/>
    <col min="14351" max="14592" width="9.140625" style="195"/>
    <col min="14593" max="14593" width="40" style="195" customWidth="1"/>
    <col min="14594" max="14595" width="0" style="195" hidden="1" customWidth="1"/>
    <col min="14596" max="14596" width="13.5703125" style="195" customWidth="1"/>
    <col min="14597" max="14597" width="20.85546875" style="195" customWidth="1"/>
    <col min="14598" max="14599" width="0" style="195" hidden="1" customWidth="1"/>
    <col min="14600" max="14600" width="18.140625" style="195" customWidth="1"/>
    <col min="14601" max="14601" width="14.7109375" style="195" customWidth="1"/>
    <col min="14602" max="14602" width="9.140625" style="195" customWidth="1"/>
    <col min="14603" max="14604" width="15" style="195" bestFit="1" customWidth="1"/>
    <col min="14605" max="14605" width="13.5703125" style="195" bestFit="1" customWidth="1"/>
    <col min="14606" max="14606" width="11.42578125" style="195" bestFit="1" customWidth="1"/>
    <col min="14607" max="14848" width="9.140625" style="195"/>
    <col min="14849" max="14849" width="40" style="195" customWidth="1"/>
    <col min="14850" max="14851" width="0" style="195" hidden="1" customWidth="1"/>
    <col min="14852" max="14852" width="13.5703125" style="195" customWidth="1"/>
    <col min="14853" max="14853" width="20.85546875" style="195" customWidth="1"/>
    <col min="14854" max="14855" width="0" style="195" hidden="1" customWidth="1"/>
    <col min="14856" max="14856" width="18.140625" style="195" customWidth="1"/>
    <col min="14857" max="14857" width="14.7109375" style="195" customWidth="1"/>
    <col min="14858" max="14858" width="9.140625" style="195" customWidth="1"/>
    <col min="14859" max="14860" width="15" style="195" bestFit="1" customWidth="1"/>
    <col min="14861" max="14861" width="13.5703125" style="195" bestFit="1" customWidth="1"/>
    <col min="14862" max="14862" width="11.42578125" style="195" bestFit="1" customWidth="1"/>
    <col min="14863" max="15104" width="9.140625" style="195"/>
    <col min="15105" max="15105" width="40" style="195" customWidth="1"/>
    <col min="15106" max="15107" width="0" style="195" hidden="1" customWidth="1"/>
    <col min="15108" max="15108" width="13.5703125" style="195" customWidth="1"/>
    <col min="15109" max="15109" width="20.85546875" style="195" customWidth="1"/>
    <col min="15110" max="15111" width="0" style="195" hidden="1" customWidth="1"/>
    <col min="15112" max="15112" width="18.140625" style="195" customWidth="1"/>
    <col min="15113" max="15113" width="14.7109375" style="195" customWidth="1"/>
    <col min="15114" max="15114" width="9.140625" style="195" customWidth="1"/>
    <col min="15115" max="15116" width="15" style="195" bestFit="1" customWidth="1"/>
    <col min="15117" max="15117" width="13.5703125" style="195" bestFit="1" customWidth="1"/>
    <col min="15118" max="15118" width="11.42578125" style="195" bestFit="1" customWidth="1"/>
    <col min="15119" max="15360" width="9.140625" style="195"/>
    <col min="15361" max="15361" width="40" style="195" customWidth="1"/>
    <col min="15362" max="15363" width="0" style="195" hidden="1" customWidth="1"/>
    <col min="15364" max="15364" width="13.5703125" style="195" customWidth="1"/>
    <col min="15365" max="15365" width="20.85546875" style="195" customWidth="1"/>
    <col min="15366" max="15367" width="0" style="195" hidden="1" customWidth="1"/>
    <col min="15368" max="15368" width="18.140625" style="195" customWidth="1"/>
    <col min="15369" max="15369" width="14.7109375" style="195" customWidth="1"/>
    <col min="15370" max="15370" width="9.140625" style="195" customWidth="1"/>
    <col min="15371" max="15372" width="15" style="195" bestFit="1" customWidth="1"/>
    <col min="15373" max="15373" width="13.5703125" style="195" bestFit="1" customWidth="1"/>
    <col min="15374" max="15374" width="11.42578125" style="195" bestFit="1" customWidth="1"/>
    <col min="15375" max="15616" width="9.140625" style="195"/>
    <col min="15617" max="15617" width="40" style="195" customWidth="1"/>
    <col min="15618" max="15619" width="0" style="195" hidden="1" customWidth="1"/>
    <col min="15620" max="15620" width="13.5703125" style="195" customWidth="1"/>
    <col min="15621" max="15621" width="20.85546875" style="195" customWidth="1"/>
    <col min="15622" max="15623" width="0" style="195" hidden="1" customWidth="1"/>
    <col min="15624" max="15624" width="18.140625" style="195" customWidth="1"/>
    <col min="15625" max="15625" width="14.7109375" style="195" customWidth="1"/>
    <col min="15626" max="15626" width="9.140625" style="195" customWidth="1"/>
    <col min="15627" max="15628" width="15" style="195" bestFit="1" customWidth="1"/>
    <col min="15629" max="15629" width="13.5703125" style="195" bestFit="1" customWidth="1"/>
    <col min="15630" max="15630" width="11.42578125" style="195" bestFit="1" customWidth="1"/>
    <col min="15631" max="15872" width="9.140625" style="195"/>
    <col min="15873" max="15873" width="40" style="195" customWidth="1"/>
    <col min="15874" max="15875" width="0" style="195" hidden="1" customWidth="1"/>
    <col min="15876" max="15876" width="13.5703125" style="195" customWidth="1"/>
    <col min="15877" max="15877" width="20.85546875" style="195" customWidth="1"/>
    <col min="15878" max="15879" width="0" style="195" hidden="1" customWidth="1"/>
    <col min="15880" max="15880" width="18.140625" style="195" customWidth="1"/>
    <col min="15881" max="15881" width="14.7109375" style="195" customWidth="1"/>
    <col min="15882" max="15882" width="9.140625" style="195" customWidth="1"/>
    <col min="15883" max="15884" width="15" style="195" bestFit="1" customWidth="1"/>
    <col min="15885" max="15885" width="13.5703125" style="195" bestFit="1" customWidth="1"/>
    <col min="15886" max="15886" width="11.42578125" style="195" bestFit="1" customWidth="1"/>
    <col min="15887" max="16128" width="9.140625" style="195"/>
    <col min="16129" max="16129" width="40" style="195" customWidth="1"/>
    <col min="16130" max="16131" width="0" style="195" hidden="1" customWidth="1"/>
    <col min="16132" max="16132" width="13.5703125" style="195" customWidth="1"/>
    <col min="16133" max="16133" width="20.85546875" style="195" customWidth="1"/>
    <col min="16134" max="16135" width="0" style="195" hidden="1" customWidth="1"/>
    <col min="16136" max="16136" width="18.140625" style="195" customWidth="1"/>
    <col min="16137" max="16137" width="14.7109375" style="195" customWidth="1"/>
    <col min="16138" max="16138" width="9.140625" style="195" customWidth="1"/>
    <col min="16139" max="16140" width="15" style="195" bestFit="1" customWidth="1"/>
    <col min="16141" max="16141" width="13.5703125" style="195" bestFit="1" customWidth="1"/>
    <col min="16142" max="16142" width="11.42578125" style="195" bestFit="1" customWidth="1"/>
    <col min="16143" max="16384" width="9.140625" style="195"/>
  </cols>
  <sheetData>
    <row r="1" spans="1:15" x14ac:dyDescent="0.25">
      <c r="A1" s="526"/>
      <c r="B1" s="527"/>
      <c r="C1" s="527"/>
      <c r="D1" s="527"/>
      <c r="E1" s="527"/>
      <c r="F1" s="194"/>
      <c r="G1" s="194"/>
      <c r="H1" s="194"/>
      <c r="I1" s="194"/>
      <c r="J1" s="231"/>
    </row>
    <row r="2" spans="1:15" ht="15.2" customHeight="1" x14ac:dyDescent="0.25">
      <c r="A2" s="526" t="s">
        <v>185</v>
      </c>
      <c r="B2" s="527"/>
      <c r="C2" s="527"/>
      <c r="D2" s="527"/>
      <c r="E2" s="527"/>
      <c r="F2" s="194"/>
      <c r="G2" s="194"/>
      <c r="H2" s="194"/>
      <c r="I2" s="194"/>
      <c r="J2" s="231"/>
    </row>
    <row r="3" spans="1:15" ht="15.95" customHeight="1" x14ac:dyDescent="0.25">
      <c r="A3" s="528" t="s">
        <v>186</v>
      </c>
      <c r="B3" s="529"/>
      <c r="C3" s="529"/>
      <c r="D3" s="529"/>
      <c r="E3" s="529"/>
      <c r="F3" s="529"/>
      <c r="G3" s="529"/>
      <c r="H3" s="529"/>
      <c r="I3" s="529"/>
      <c r="J3" s="231"/>
    </row>
    <row r="4" spans="1:15" ht="15.75" customHeight="1" x14ac:dyDescent="0.25">
      <c r="A4" s="530" t="s">
        <v>187</v>
      </c>
      <c r="B4" s="531"/>
      <c r="C4" s="531"/>
      <c r="D4" s="531"/>
      <c r="E4" s="531"/>
      <c r="F4" s="531"/>
      <c r="G4" s="531"/>
      <c r="H4" s="531"/>
      <c r="I4" s="531"/>
      <c r="J4" s="231"/>
    </row>
    <row r="5" spans="1:15" ht="12.75" customHeight="1" x14ac:dyDescent="0.25">
      <c r="A5" s="532" t="s">
        <v>188</v>
      </c>
      <c r="B5" s="533"/>
      <c r="C5" s="533"/>
      <c r="D5" s="533"/>
      <c r="E5" s="533"/>
      <c r="F5" s="533"/>
      <c r="G5" s="533"/>
      <c r="H5" s="533"/>
      <c r="I5" s="533"/>
      <c r="J5" s="231"/>
    </row>
    <row r="6" spans="1:15" ht="38.25" customHeight="1" x14ac:dyDescent="0.25">
      <c r="A6" s="524" t="s">
        <v>189</v>
      </c>
      <c r="B6" s="524" t="s">
        <v>190</v>
      </c>
      <c r="C6" s="524" t="s">
        <v>191</v>
      </c>
      <c r="D6" s="524" t="s">
        <v>192</v>
      </c>
      <c r="E6" s="522" t="s">
        <v>193</v>
      </c>
      <c r="F6" s="522" t="s">
        <v>194</v>
      </c>
      <c r="G6" s="522" t="s">
        <v>195</v>
      </c>
      <c r="H6" s="522" t="s">
        <v>196</v>
      </c>
      <c r="I6" s="522" t="s">
        <v>197</v>
      </c>
      <c r="J6" s="231"/>
    </row>
    <row r="7" spans="1:15" x14ac:dyDescent="0.25">
      <c r="A7" s="525"/>
      <c r="B7" s="525"/>
      <c r="C7" s="525"/>
      <c r="D7" s="525"/>
      <c r="E7" s="523"/>
      <c r="F7" s="523"/>
      <c r="G7" s="523"/>
      <c r="H7" s="523"/>
      <c r="I7" s="523"/>
      <c r="J7" s="231"/>
    </row>
    <row r="8" spans="1:15" ht="30" x14ac:dyDescent="0.25">
      <c r="A8" s="196" t="s">
        <v>198</v>
      </c>
      <c r="B8" s="197"/>
      <c r="C8" s="197"/>
      <c r="D8" s="197"/>
      <c r="E8" s="198">
        <v>1978098362.76</v>
      </c>
      <c r="F8" s="198">
        <v>1977936615.74</v>
      </c>
      <c r="G8" s="198">
        <v>1461824314.6099999</v>
      </c>
      <c r="H8" s="198">
        <v>1461778907.05</v>
      </c>
      <c r="I8" s="199">
        <v>0.73900486554690159</v>
      </c>
      <c r="J8" s="231"/>
    </row>
    <row r="9" spans="1:15" ht="30" outlineLevel="1" x14ac:dyDescent="0.25">
      <c r="A9" s="200" t="s">
        <v>199</v>
      </c>
      <c r="B9" s="201"/>
      <c r="C9" s="201"/>
      <c r="D9" s="201"/>
      <c r="E9" s="202">
        <v>717700458.58000004</v>
      </c>
      <c r="F9" s="202">
        <v>717700458.58000004</v>
      </c>
      <c r="G9" s="202">
        <v>519750838.98000002</v>
      </c>
      <c r="H9" s="202">
        <v>519739889.99000001</v>
      </c>
      <c r="I9" s="203">
        <v>0.72418908580377461</v>
      </c>
      <c r="J9" s="231"/>
      <c r="K9" s="233">
        <f>'11а. Отч мероп 01.10.21 '!D39+'11а. Отч мероп 01.10.21 '!D40</f>
        <v>717700458.58000004</v>
      </c>
      <c r="L9" s="233">
        <f>'11а. Отч мероп 01.10.21 '!E39+'11а. Отч мероп 01.10.21 '!E40</f>
        <v>519739889.99000007</v>
      </c>
    </row>
    <row r="10" spans="1:15" outlineLevel="2" x14ac:dyDescent="0.25">
      <c r="A10" s="204" t="s">
        <v>200</v>
      </c>
      <c r="B10" s="201"/>
      <c r="C10" s="201"/>
      <c r="D10" s="201"/>
      <c r="E10" s="202">
        <v>715998436.58000004</v>
      </c>
      <c r="F10" s="202">
        <v>715998436.58000004</v>
      </c>
      <c r="G10" s="202">
        <v>518052838.98000002</v>
      </c>
      <c r="H10" s="202">
        <v>518041889.99000001</v>
      </c>
      <c r="I10" s="203">
        <v>0.72353906449084382</v>
      </c>
      <c r="J10" s="231"/>
      <c r="K10" s="233">
        <f>'без учета счетов бюджета'!E9-'без учета счетов бюджета'!E10</f>
        <v>1702022</v>
      </c>
      <c r="L10" s="233">
        <f>H9-H10</f>
        <v>1698000</v>
      </c>
    </row>
    <row r="11" spans="1:15" ht="60" outlineLevel="3" x14ac:dyDescent="0.25">
      <c r="A11" s="204" t="s">
        <v>201</v>
      </c>
      <c r="B11" s="201"/>
      <c r="C11" s="201" t="s">
        <v>202</v>
      </c>
      <c r="D11" s="201" t="s">
        <v>30</v>
      </c>
      <c r="E11" s="202">
        <v>234537599.43000001</v>
      </c>
      <c r="F11" s="202">
        <v>234537599.43000001</v>
      </c>
      <c r="G11" s="202">
        <v>169605425.97999999</v>
      </c>
      <c r="H11" s="202">
        <v>169605425.97999999</v>
      </c>
      <c r="I11" s="203">
        <v>0.72314812802806216</v>
      </c>
      <c r="J11" s="231"/>
      <c r="K11" s="233"/>
    </row>
    <row r="12" spans="1:15" ht="30" outlineLevel="4" x14ac:dyDescent="0.25">
      <c r="A12" s="204" t="s">
        <v>203</v>
      </c>
      <c r="B12" s="201" t="s">
        <v>204</v>
      </c>
      <c r="C12" s="201" t="s">
        <v>202</v>
      </c>
      <c r="D12" s="201" t="s">
        <v>30</v>
      </c>
      <c r="E12" s="202">
        <v>234537599.43000001</v>
      </c>
      <c r="F12" s="202">
        <v>234537599.43000001</v>
      </c>
      <c r="G12" s="202">
        <v>169605425.97999999</v>
      </c>
      <c r="H12" s="202">
        <v>169605425.97999999</v>
      </c>
      <c r="I12" s="203">
        <v>0.72314812802806216</v>
      </c>
      <c r="J12" s="231"/>
    </row>
    <row r="13" spans="1:15" ht="75" outlineLevel="3" x14ac:dyDescent="0.25">
      <c r="A13" s="204" t="s">
        <v>205</v>
      </c>
      <c r="B13" s="201"/>
      <c r="C13" s="201" t="s">
        <v>206</v>
      </c>
      <c r="D13" s="201" t="s">
        <v>30</v>
      </c>
      <c r="E13" s="202">
        <v>8076536.8600000003</v>
      </c>
      <c r="F13" s="202">
        <v>8076536.8600000003</v>
      </c>
      <c r="G13" s="202">
        <v>7532047.7400000002</v>
      </c>
      <c r="H13" s="202">
        <v>7532047.7400000002</v>
      </c>
      <c r="I13" s="203">
        <v>0.9325838376722273</v>
      </c>
      <c r="J13" s="231"/>
    </row>
    <row r="14" spans="1:15" ht="30" outlineLevel="4" x14ac:dyDescent="0.25">
      <c r="A14" s="204" t="s">
        <v>203</v>
      </c>
      <c r="B14" s="201" t="s">
        <v>204</v>
      </c>
      <c r="C14" s="201" t="s">
        <v>206</v>
      </c>
      <c r="D14" s="201" t="s">
        <v>30</v>
      </c>
      <c r="E14" s="202">
        <v>8076536.8600000003</v>
      </c>
      <c r="F14" s="202">
        <v>8076536.8600000003</v>
      </c>
      <c r="G14" s="202">
        <v>7532047.7400000002</v>
      </c>
      <c r="H14" s="202">
        <v>7532047.7400000002</v>
      </c>
      <c r="I14" s="203">
        <v>0.9325838376722273</v>
      </c>
      <c r="J14" s="231"/>
      <c r="O14" s="232" t="s">
        <v>887</v>
      </c>
    </row>
    <row r="15" spans="1:15" ht="75" outlineLevel="3" x14ac:dyDescent="0.25">
      <c r="A15" s="204" t="s">
        <v>207</v>
      </c>
      <c r="B15" s="201"/>
      <c r="C15" s="201" t="s">
        <v>208</v>
      </c>
      <c r="D15" s="201" t="s">
        <v>30</v>
      </c>
      <c r="E15" s="202">
        <v>267920</v>
      </c>
      <c r="F15" s="202">
        <v>267920</v>
      </c>
      <c r="G15" s="202">
        <v>82000</v>
      </c>
      <c r="H15" s="202">
        <v>75200</v>
      </c>
      <c r="I15" s="203">
        <v>0.30606151089877576</v>
      </c>
      <c r="J15" s="231"/>
    </row>
    <row r="16" spans="1:15" ht="30" outlineLevel="4" x14ac:dyDescent="0.25">
      <c r="A16" s="204" t="s">
        <v>203</v>
      </c>
      <c r="B16" s="201" t="s">
        <v>204</v>
      </c>
      <c r="C16" s="201" t="s">
        <v>208</v>
      </c>
      <c r="D16" s="201" t="s">
        <v>30</v>
      </c>
      <c r="E16" s="202">
        <v>267920</v>
      </c>
      <c r="F16" s="202">
        <v>267920</v>
      </c>
      <c r="G16" s="202">
        <v>82000</v>
      </c>
      <c r="H16" s="202">
        <v>75200</v>
      </c>
      <c r="I16" s="203">
        <v>0.30606151089877576</v>
      </c>
      <c r="J16" s="231"/>
    </row>
    <row r="17" spans="1:12" ht="75" outlineLevel="3" x14ac:dyDescent="0.25">
      <c r="A17" s="204" t="s">
        <v>209</v>
      </c>
      <c r="B17" s="201"/>
      <c r="C17" s="201" t="s">
        <v>210</v>
      </c>
      <c r="D17" s="201" t="s">
        <v>32</v>
      </c>
      <c r="E17" s="202">
        <v>13906667.050000001</v>
      </c>
      <c r="F17" s="202">
        <v>13906667.050000001</v>
      </c>
      <c r="G17" s="202">
        <v>10485516.039999999</v>
      </c>
      <c r="H17" s="202">
        <v>10485516.039999999</v>
      </c>
      <c r="I17" s="203">
        <v>0.75399202427874334</v>
      </c>
      <c r="J17" s="231"/>
      <c r="L17" s="233">
        <f>H17+H19+H21+H23</f>
        <v>335159525.72000003</v>
      </c>
    </row>
    <row r="18" spans="1:12" ht="30" outlineLevel="4" x14ac:dyDescent="0.25">
      <c r="A18" s="204" t="s">
        <v>203</v>
      </c>
      <c r="B18" s="201" t="s">
        <v>204</v>
      </c>
      <c r="C18" s="201" t="s">
        <v>210</v>
      </c>
      <c r="D18" s="201" t="s">
        <v>32</v>
      </c>
      <c r="E18" s="202">
        <v>13906667.050000001</v>
      </c>
      <c r="F18" s="202">
        <v>13906667.050000001</v>
      </c>
      <c r="G18" s="202">
        <v>10485516.039999999</v>
      </c>
      <c r="H18" s="202">
        <v>10485516.039999999</v>
      </c>
      <c r="I18" s="203">
        <v>0.75399202427874334</v>
      </c>
      <c r="J18" s="231"/>
    </row>
    <row r="19" spans="1:12" ht="75" outlineLevel="3" x14ac:dyDescent="0.25">
      <c r="A19" s="204" t="s">
        <v>211</v>
      </c>
      <c r="B19" s="201"/>
      <c r="C19" s="201" t="s">
        <v>212</v>
      </c>
      <c r="D19" s="201" t="s">
        <v>32</v>
      </c>
      <c r="E19" s="202">
        <v>430952120</v>
      </c>
      <c r="F19" s="202">
        <v>430952120</v>
      </c>
      <c r="G19" s="202">
        <v>314500561.69999999</v>
      </c>
      <c r="H19" s="202">
        <v>314500561.69999999</v>
      </c>
      <c r="I19" s="203">
        <v>0.72978075081751537</v>
      </c>
      <c r="J19" s="231"/>
    </row>
    <row r="20" spans="1:12" ht="30" outlineLevel="4" x14ac:dyDescent="0.25">
      <c r="A20" s="204" t="s">
        <v>203</v>
      </c>
      <c r="B20" s="201" t="s">
        <v>204</v>
      </c>
      <c r="C20" s="201" t="s">
        <v>212</v>
      </c>
      <c r="D20" s="201" t="s">
        <v>32</v>
      </c>
      <c r="E20" s="202">
        <v>430952120</v>
      </c>
      <c r="F20" s="202">
        <v>430952120</v>
      </c>
      <c r="G20" s="202">
        <v>314500561.69999999</v>
      </c>
      <c r="H20" s="202">
        <v>314500561.69999999</v>
      </c>
      <c r="I20" s="203">
        <v>0.72978075081751537</v>
      </c>
      <c r="J20" s="231"/>
    </row>
    <row r="21" spans="1:12" ht="165" outlineLevel="3" x14ac:dyDescent="0.25">
      <c r="A21" s="204" t="s">
        <v>213</v>
      </c>
      <c r="B21" s="201"/>
      <c r="C21" s="201" t="s">
        <v>214</v>
      </c>
      <c r="D21" s="201" t="s">
        <v>32</v>
      </c>
      <c r="E21" s="202">
        <v>505000</v>
      </c>
      <c r="F21" s="202">
        <v>505000</v>
      </c>
      <c r="G21" s="202">
        <v>180607.86</v>
      </c>
      <c r="H21" s="202">
        <v>180607.86</v>
      </c>
      <c r="I21" s="203">
        <v>0.35763932673267329</v>
      </c>
      <c r="J21" s="231"/>
    </row>
    <row r="22" spans="1:12" ht="30" outlineLevel="4" x14ac:dyDescent="0.25">
      <c r="A22" s="204" t="s">
        <v>203</v>
      </c>
      <c r="B22" s="201" t="s">
        <v>204</v>
      </c>
      <c r="C22" s="201" t="s">
        <v>214</v>
      </c>
      <c r="D22" s="201" t="s">
        <v>32</v>
      </c>
      <c r="E22" s="202">
        <v>505000</v>
      </c>
      <c r="F22" s="202">
        <v>505000</v>
      </c>
      <c r="G22" s="202">
        <v>180607.86</v>
      </c>
      <c r="H22" s="202">
        <v>180607.86</v>
      </c>
      <c r="I22" s="203">
        <v>0.35763932673267329</v>
      </c>
      <c r="J22" s="231"/>
    </row>
    <row r="23" spans="1:12" ht="90" outlineLevel="3" x14ac:dyDescent="0.25">
      <c r="A23" s="204" t="s">
        <v>215</v>
      </c>
      <c r="B23" s="201"/>
      <c r="C23" s="201" t="s">
        <v>216</v>
      </c>
      <c r="D23" s="201" t="s">
        <v>32</v>
      </c>
      <c r="E23" s="202">
        <v>20198900</v>
      </c>
      <c r="F23" s="202">
        <v>20198900</v>
      </c>
      <c r="G23" s="202">
        <v>9996989.1099999994</v>
      </c>
      <c r="H23" s="202">
        <v>9992840.1199999992</v>
      </c>
      <c r="I23" s="203">
        <v>0.49492740248231337</v>
      </c>
      <c r="J23" s="231"/>
    </row>
    <row r="24" spans="1:12" ht="30" outlineLevel="4" x14ac:dyDescent="0.25">
      <c r="A24" s="204" t="s">
        <v>203</v>
      </c>
      <c r="B24" s="201" t="s">
        <v>204</v>
      </c>
      <c r="C24" s="201" t="s">
        <v>216</v>
      </c>
      <c r="D24" s="201" t="s">
        <v>32</v>
      </c>
      <c r="E24" s="202">
        <v>20198900</v>
      </c>
      <c r="F24" s="202">
        <v>20198900</v>
      </c>
      <c r="G24" s="202">
        <v>9996989.1099999994</v>
      </c>
      <c r="H24" s="202">
        <v>9992840.1199999992</v>
      </c>
      <c r="I24" s="203">
        <v>0.49492740248231337</v>
      </c>
      <c r="J24" s="231"/>
    </row>
    <row r="25" spans="1:12" ht="105" outlineLevel="3" x14ac:dyDescent="0.25">
      <c r="A25" s="204" t="s">
        <v>217</v>
      </c>
      <c r="B25" s="201"/>
      <c r="C25" s="201" t="s">
        <v>218</v>
      </c>
      <c r="D25" s="201" t="s">
        <v>30</v>
      </c>
      <c r="E25" s="202">
        <v>1127567.6000000001</v>
      </c>
      <c r="F25" s="202">
        <v>1127567.6000000001</v>
      </c>
      <c r="G25" s="202">
        <v>840499.44</v>
      </c>
      <c r="H25" s="202">
        <v>840499.44</v>
      </c>
      <c r="I25" s="203">
        <v>0.74540935727489865</v>
      </c>
      <c r="J25" s="231"/>
    </row>
    <row r="26" spans="1:12" ht="30" outlineLevel="4" x14ac:dyDescent="0.25">
      <c r="A26" s="204" t="s">
        <v>203</v>
      </c>
      <c r="B26" s="201" t="s">
        <v>204</v>
      </c>
      <c r="C26" s="201" t="s">
        <v>218</v>
      </c>
      <c r="D26" s="201" t="s">
        <v>30</v>
      </c>
      <c r="E26" s="202">
        <v>1127567.6000000001</v>
      </c>
      <c r="F26" s="202">
        <v>1127567.6000000001</v>
      </c>
      <c r="G26" s="202">
        <v>840499.44</v>
      </c>
      <c r="H26" s="202">
        <v>840499.44</v>
      </c>
      <c r="I26" s="203">
        <v>0.74540935727489865</v>
      </c>
      <c r="J26" s="231"/>
    </row>
    <row r="27" spans="1:12" ht="150" outlineLevel="3" x14ac:dyDescent="0.25">
      <c r="A27" s="204" t="s">
        <v>219</v>
      </c>
      <c r="B27" s="201"/>
      <c r="C27" s="201" t="s">
        <v>220</v>
      </c>
      <c r="D27" s="201" t="s">
        <v>30</v>
      </c>
      <c r="E27" s="202">
        <v>6426125.6399999997</v>
      </c>
      <c r="F27" s="202">
        <v>6426125.6399999997</v>
      </c>
      <c r="G27" s="202">
        <v>4829191.1100000003</v>
      </c>
      <c r="H27" s="202">
        <v>4829191.1100000003</v>
      </c>
      <c r="I27" s="203">
        <v>0.75149341617914589</v>
      </c>
      <c r="J27" s="231"/>
    </row>
    <row r="28" spans="1:12" ht="30" outlineLevel="4" x14ac:dyDescent="0.25">
      <c r="A28" s="204" t="s">
        <v>203</v>
      </c>
      <c r="B28" s="201" t="s">
        <v>204</v>
      </c>
      <c r="C28" s="201" t="s">
        <v>220</v>
      </c>
      <c r="D28" s="201" t="s">
        <v>30</v>
      </c>
      <c r="E28" s="202">
        <v>6426125.6399999997</v>
      </c>
      <c r="F28" s="202">
        <v>6426125.6399999997</v>
      </c>
      <c r="G28" s="202">
        <v>4829191.1100000003</v>
      </c>
      <c r="H28" s="202">
        <v>4829191.1100000003</v>
      </c>
      <c r="I28" s="203">
        <v>0.75149341617914589</v>
      </c>
      <c r="J28" s="231"/>
    </row>
    <row r="29" spans="1:12" ht="75" outlineLevel="2" x14ac:dyDescent="0.25">
      <c r="A29" s="204" t="s">
        <v>221</v>
      </c>
      <c r="B29" s="201"/>
      <c r="C29" s="201"/>
      <c r="D29" s="201"/>
      <c r="E29" s="202">
        <v>1702022</v>
      </c>
      <c r="F29" s="202">
        <v>1702022</v>
      </c>
      <c r="G29" s="202">
        <v>1698000</v>
      </c>
      <c r="H29" s="202">
        <v>1698000</v>
      </c>
      <c r="I29" s="203">
        <v>0.99763692831232498</v>
      </c>
      <c r="J29" s="231"/>
    </row>
    <row r="30" spans="1:12" ht="30" outlineLevel="3" x14ac:dyDescent="0.25">
      <c r="A30" s="204" t="s">
        <v>222</v>
      </c>
      <c r="B30" s="201"/>
      <c r="C30" s="201" t="s">
        <v>223</v>
      </c>
      <c r="D30" s="201" t="s">
        <v>30</v>
      </c>
      <c r="E30" s="202">
        <v>1202022</v>
      </c>
      <c r="F30" s="202">
        <v>1202022</v>
      </c>
      <c r="G30" s="202">
        <v>1198000</v>
      </c>
      <c r="H30" s="202">
        <v>1198000</v>
      </c>
      <c r="I30" s="203">
        <v>0.99665397139153855</v>
      </c>
      <c r="J30" s="231"/>
    </row>
    <row r="31" spans="1:12" ht="30" outlineLevel="4" x14ac:dyDescent="0.25">
      <c r="A31" s="204" t="s">
        <v>203</v>
      </c>
      <c r="B31" s="201" t="s">
        <v>204</v>
      </c>
      <c r="C31" s="201" t="s">
        <v>223</v>
      </c>
      <c r="D31" s="201" t="s">
        <v>30</v>
      </c>
      <c r="E31" s="202">
        <v>1202022</v>
      </c>
      <c r="F31" s="202">
        <v>1202022</v>
      </c>
      <c r="G31" s="202">
        <v>1198000</v>
      </c>
      <c r="H31" s="202">
        <v>1198000</v>
      </c>
      <c r="I31" s="203">
        <v>0.99665397139153855</v>
      </c>
      <c r="J31" s="231"/>
    </row>
    <row r="32" spans="1:12" ht="30" outlineLevel="3" x14ac:dyDescent="0.25">
      <c r="A32" s="204" t="s">
        <v>224</v>
      </c>
      <c r="B32" s="201"/>
      <c r="C32" s="201" t="s">
        <v>225</v>
      </c>
      <c r="D32" s="201" t="s">
        <v>30</v>
      </c>
      <c r="E32" s="202">
        <v>500000</v>
      </c>
      <c r="F32" s="202">
        <v>500000</v>
      </c>
      <c r="G32" s="202">
        <v>500000</v>
      </c>
      <c r="H32" s="202">
        <v>500000</v>
      </c>
      <c r="I32" s="203">
        <v>1</v>
      </c>
      <c r="J32" s="231"/>
    </row>
    <row r="33" spans="1:13" ht="30" outlineLevel="4" x14ac:dyDescent="0.25">
      <c r="A33" s="204" t="s">
        <v>203</v>
      </c>
      <c r="B33" s="201" t="s">
        <v>204</v>
      </c>
      <c r="C33" s="201" t="s">
        <v>225</v>
      </c>
      <c r="D33" s="201" t="s">
        <v>30</v>
      </c>
      <c r="E33" s="202">
        <v>500000</v>
      </c>
      <c r="F33" s="202">
        <v>500000</v>
      </c>
      <c r="G33" s="202">
        <v>500000</v>
      </c>
      <c r="H33" s="202">
        <v>500000</v>
      </c>
      <c r="I33" s="203">
        <v>1</v>
      </c>
      <c r="J33" s="231"/>
    </row>
    <row r="34" spans="1:13" outlineLevel="1" x14ac:dyDescent="0.25">
      <c r="A34" s="200" t="s">
        <v>226</v>
      </c>
      <c r="B34" s="201"/>
      <c r="C34" s="201"/>
      <c r="D34" s="201" t="s">
        <v>30</v>
      </c>
      <c r="E34" s="202">
        <v>666774111.25</v>
      </c>
      <c r="F34" s="202">
        <v>666612364.23000002</v>
      </c>
      <c r="G34" s="202">
        <v>500987224.76999998</v>
      </c>
      <c r="H34" s="202">
        <v>500987224.76999998</v>
      </c>
      <c r="I34" s="203">
        <v>0.75135974285324358</v>
      </c>
      <c r="J34" s="231"/>
      <c r="K34" s="234">
        <f>'11а. Отч мероп 01.10.21 '!D94+'11а. Отч мероп 01.10.21 '!D95+'11а. Отч мероп 01.10.21 '!D96</f>
        <v>666774111.25</v>
      </c>
      <c r="L34" s="234">
        <f>'11а. Отч мероп 01.10.21 '!E94+'11а. Отч мероп 01.10.21 '!E95+'11а. Отч мероп 01.10.21 '!E96</f>
        <v>500987224.76999998</v>
      </c>
    </row>
    <row r="35" spans="1:13" outlineLevel="2" x14ac:dyDescent="0.25">
      <c r="A35" s="204" t="s">
        <v>227</v>
      </c>
      <c r="B35" s="201"/>
      <c r="C35" s="201"/>
      <c r="D35" s="201" t="s">
        <v>30</v>
      </c>
      <c r="E35" s="202">
        <v>621765075.41999996</v>
      </c>
      <c r="F35" s="202">
        <v>621765075.41999996</v>
      </c>
      <c r="G35" s="202">
        <v>458181988.91000003</v>
      </c>
      <c r="H35" s="202">
        <v>458181988.91000003</v>
      </c>
      <c r="I35" s="203">
        <v>0.73690531524386405</v>
      </c>
      <c r="J35" s="231"/>
    </row>
    <row r="36" spans="1:13" ht="60" outlineLevel="3" x14ac:dyDescent="0.25">
      <c r="A36" s="204" t="s">
        <v>201</v>
      </c>
      <c r="B36" s="201"/>
      <c r="C36" s="201" t="s">
        <v>228</v>
      </c>
      <c r="D36" s="201" t="s">
        <v>30</v>
      </c>
      <c r="E36" s="202">
        <v>95935905.609999999</v>
      </c>
      <c r="F36" s="202">
        <v>95935905.609999999</v>
      </c>
      <c r="G36" s="202">
        <v>67581052.239999995</v>
      </c>
      <c r="H36" s="202">
        <v>67581052.239999995</v>
      </c>
      <c r="I36" s="203">
        <v>0.7044396132010412</v>
      </c>
      <c r="J36" s="231"/>
      <c r="M36" s="233">
        <f>H46+H48+H50+H52+H61+H65</f>
        <v>368720272.01999998</v>
      </c>
    </row>
    <row r="37" spans="1:13" ht="30" outlineLevel="4" x14ac:dyDescent="0.25">
      <c r="A37" s="204" t="s">
        <v>203</v>
      </c>
      <c r="B37" s="201" t="s">
        <v>204</v>
      </c>
      <c r="C37" s="201" t="s">
        <v>228</v>
      </c>
      <c r="D37" s="201" t="s">
        <v>30</v>
      </c>
      <c r="E37" s="202">
        <v>95935905.609999999</v>
      </c>
      <c r="F37" s="202">
        <v>95935905.609999999</v>
      </c>
      <c r="G37" s="202">
        <v>67581052.239999995</v>
      </c>
      <c r="H37" s="202">
        <v>67581052.239999995</v>
      </c>
      <c r="I37" s="203">
        <v>0.7044396132010412</v>
      </c>
      <c r="J37" s="231"/>
    </row>
    <row r="38" spans="1:13" ht="75" outlineLevel="3" x14ac:dyDescent="0.25">
      <c r="A38" s="204" t="s">
        <v>205</v>
      </c>
      <c r="B38" s="201"/>
      <c r="C38" s="201" t="s">
        <v>229</v>
      </c>
      <c r="D38" s="201" t="s">
        <v>30</v>
      </c>
      <c r="E38" s="202">
        <v>8074001.2300000004</v>
      </c>
      <c r="F38" s="202">
        <v>8074001.2300000004</v>
      </c>
      <c r="G38" s="202">
        <v>4450460.9000000004</v>
      </c>
      <c r="H38" s="202">
        <v>4450460.9000000004</v>
      </c>
      <c r="I38" s="203">
        <v>0.55120884592681685</v>
      </c>
      <c r="J38" s="231"/>
    </row>
    <row r="39" spans="1:13" ht="30" outlineLevel="4" x14ac:dyDescent="0.25">
      <c r="A39" s="204" t="s">
        <v>203</v>
      </c>
      <c r="B39" s="201" t="s">
        <v>204</v>
      </c>
      <c r="C39" s="201" t="s">
        <v>229</v>
      </c>
      <c r="D39" s="201" t="s">
        <v>30</v>
      </c>
      <c r="E39" s="202">
        <v>8074001.2300000004</v>
      </c>
      <c r="F39" s="202">
        <v>8074001.2300000004</v>
      </c>
      <c r="G39" s="202">
        <v>4450460.9000000004</v>
      </c>
      <c r="H39" s="202">
        <v>4450460.9000000004</v>
      </c>
      <c r="I39" s="203">
        <v>0.55120884592681685</v>
      </c>
      <c r="J39" s="231"/>
    </row>
    <row r="40" spans="1:13" ht="105" outlineLevel="3" x14ac:dyDescent="0.25">
      <c r="A40" s="204" t="s">
        <v>230</v>
      </c>
      <c r="B40" s="201"/>
      <c r="C40" s="201" t="s">
        <v>231</v>
      </c>
      <c r="D40" s="201" t="s">
        <v>30</v>
      </c>
      <c r="E40" s="202">
        <v>70000</v>
      </c>
      <c r="F40" s="202">
        <v>70000</v>
      </c>
      <c r="G40" s="202">
        <v>0</v>
      </c>
      <c r="H40" s="202">
        <v>0</v>
      </c>
      <c r="I40" s="203">
        <v>0</v>
      </c>
      <c r="J40" s="231"/>
    </row>
    <row r="41" spans="1:13" ht="30" outlineLevel="4" x14ac:dyDescent="0.25">
      <c r="A41" s="204" t="s">
        <v>203</v>
      </c>
      <c r="B41" s="201" t="s">
        <v>204</v>
      </c>
      <c r="C41" s="201" t="s">
        <v>231</v>
      </c>
      <c r="D41" s="201" t="s">
        <v>30</v>
      </c>
      <c r="E41" s="202">
        <v>70000</v>
      </c>
      <c r="F41" s="202">
        <v>70000</v>
      </c>
      <c r="G41" s="202">
        <v>0</v>
      </c>
      <c r="H41" s="202">
        <v>0</v>
      </c>
      <c r="I41" s="203">
        <v>0</v>
      </c>
      <c r="J41" s="231"/>
    </row>
    <row r="42" spans="1:13" ht="75" outlineLevel="3" x14ac:dyDescent="0.25">
      <c r="A42" s="204" t="s">
        <v>207</v>
      </c>
      <c r="B42" s="201"/>
      <c r="C42" s="201" t="s">
        <v>232</v>
      </c>
      <c r="D42" s="201" t="s">
        <v>30</v>
      </c>
      <c r="E42" s="202">
        <v>297650</v>
      </c>
      <c r="F42" s="202">
        <v>297650</v>
      </c>
      <c r="G42" s="202">
        <v>89900</v>
      </c>
      <c r="H42" s="202">
        <v>89900</v>
      </c>
      <c r="I42" s="203">
        <v>0.30203258861078447</v>
      </c>
      <c r="J42" s="231"/>
    </row>
    <row r="43" spans="1:13" ht="30" outlineLevel="4" x14ac:dyDescent="0.25">
      <c r="A43" s="204" t="s">
        <v>203</v>
      </c>
      <c r="B43" s="201" t="s">
        <v>204</v>
      </c>
      <c r="C43" s="201" t="s">
        <v>232</v>
      </c>
      <c r="D43" s="201" t="s">
        <v>30</v>
      </c>
      <c r="E43" s="202">
        <v>297650</v>
      </c>
      <c r="F43" s="202">
        <v>297650</v>
      </c>
      <c r="G43" s="202">
        <v>89900</v>
      </c>
      <c r="H43" s="202">
        <v>89900</v>
      </c>
      <c r="I43" s="203">
        <v>0.30203258861078447</v>
      </c>
      <c r="J43" s="231"/>
    </row>
    <row r="44" spans="1:13" ht="75" outlineLevel="3" x14ac:dyDescent="0.25">
      <c r="A44" s="204" t="s">
        <v>233</v>
      </c>
      <c r="B44" s="201"/>
      <c r="C44" s="201" t="s">
        <v>234</v>
      </c>
      <c r="D44" s="201" t="s">
        <v>34</v>
      </c>
      <c r="E44" s="202">
        <v>40388040</v>
      </c>
      <c r="F44" s="202">
        <v>40388040</v>
      </c>
      <c r="G44" s="202">
        <v>30560081.100000001</v>
      </c>
      <c r="H44" s="202">
        <v>30560081.100000001</v>
      </c>
      <c r="I44" s="203">
        <v>0.75666165280612774</v>
      </c>
      <c r="J44" s="231"/>
    </row>
    <row r="45" spans="1:13" ht="30" outlineLevel="4" x14ac:dyDescent="0.25">
      <c r="A45" s="204" t="s">
        <v>203</v>
      </c>
      <c r="B45" s="201" t="s">
        <v>204</v>
      </c>
      <c r="C45" s="201" t="s">
        <v>234</v>
      </c>
      <c r="D45" s="201" t="s">
        <v>34</v>
      </c>
      <c r="E45" s="202">
        <v>40388040</v>
      </c>
      <c r="F45" s="202">
        <v>40388040</v>
      </c>
      <c r="G45" s="202">
        <v>30560081.100000001</v>
      </c>
      <c r="H45" s="202">
        <v>30560081.100000001</v>
      </c>
      <c r="I45" s="203">
        <v>0.75666165280612774</v>
      </c>
      <c r="J45" s="231"/>
    </row>
    <row r="46" spans="1:13" ht="75" outlineLevel="3" x14ac:dyDescent="0.25">
      <c r="A46" s="204" t="s">
        <v>209</v>
      </c>
      <c r="B46" s="201"/>
      <c r="C46" s="201" t="s">
        <v>235</v>
      </c>
      <c r="D46" s="201" t="s">
        <v>32</v>
      </c>
      <c r="E46" s="202">
        <v>569225.18999999994</v>
      </c>
      <c r="F46" s="202">
        <v>569225.18999999994</v>
      </c>
      <c r="G46" s="202">
        <v>426918.89</v>
      </c>
      <c r="H46" s="202">
        <v>426918.89</v>
      </c>
      <c r="I46" s="203">
        <v>0.74999999560806507</v>
      </c>
      <c r="J46" s="231"/>
    </row>
    <row r="47" spans="1:13" ht="30" outlineLevel="4" x14ac:dyDescent="0.25">
      <c r="A47" s="204" t="s">
        <v>203</v>
      </c>
      <c r="B47" s="201" t="s">
        <v>204</v>
      </c>
      <c r="C47" s="201" t="s">
        <v>235</v>
      </c>
      <c r="D47" s="201" t="s">
        <v>32</v>
      </c>
      <c r="E47" s="202">
        <v>569225.18999999994</v>
      </c>
      <c r="F47" s="202">
        <v>569225.18999999994</v>
      </c>
      <c r="G47" s="202">
        <v>426918.89</v>
      </c>
      <c r="H47" s="202">
        <v>426918.89</v>
      </c>
      <c r="I47" s="203">
        <v>0.74999999560806507</v>
      </c>
      <c r="J47" s="231"/>
    </row>
    <row r="48" spans="1:13" ht="90" outlineLevel="3" x14ac:dyDescent="0.25">
      <c r="A48" s="204" t="s">
        <v>236</v>
      </c>
      <c r="B48" s="201"/>
      <c r="C48" s="201" t="s">
        <v>237</v>
      </c>
      <c r="D48" s="201" t="s">
        <v>32</v>
      </c>
      <c r="E48" s="202">
        <v>1835820</v>
      </c>
      <c r="F48" s="202">
        <v>1835820</v>
      </c>
      <c r="G48" s="202">
        <v>1402253.31</v>
      </c>
      <c r="H48" s="202">
        <v>1402253.31</v>
      </c>
      <c r="I48" s="203">
        <v>0.76382941138020066</v>
      </c>
      <c r="J48" s="231"/>
    </row>
    <row r="49" spans="1:10" ht="30" outlineLevel="4" x14ac:dyDescent="0.25">
      <c r="A49" s="204" t="s">
        <v>203</v>
      </c>
      <c r="B49" s="201" t="s">
        <v>204</v>
      </c>
      <c r="C49" s="201" t="s">
        <v>237</v>
      </c>
      <c r="D49" s="201" t="s">
        <v>32</v>
      </c>
      <c r="E49" s="202">
        <v>1835820</v>
      </c>
      <c r="F49" s="202">
        <v>1835820</v>
      </c>
      <c r="G49" s="202">
        <v>1402253.31</v>
      </c>
      <c r="H49" s="202">
        <v>1402253.31</v>
      </c>
      <c r="I49" s="203">
        <v>0.76382941138020066</v>
      </c>
      <c r="J49" s="231"/>
    </row>
    <row r="50" spans="1:10" ht="255" outlineLevel="3" x14ac:dyDescent="0.25">
      <c r="A50" s="204" t="s">
        <v>238</v>
      </c>
      <c r="B50" s="201"/>
      <c r="C50" s="201" t="s">
        <v>239</v>
      </c>
      <c r="D50" s="201" t="s">
        <v>32</v>
      </c>
      <c r="E50" s="202">
        <v>1713600</v>
      </c>
      <c r="F50" s="202">
        <v>1713600</v>
      </c>
      <c r="G50" s="202">
        <v>1181003.44</v>
      </c>
      <c r="H50" s="202">
        <v>1181003.44</v>
      </c>
      <c r="I50" s="203">
        <v>0.68919435107376281</v>
      </c>
      <c r="J50" s="231"/>
    </row>
    <row r="51" spans="1:10" ht="30" outlineLevel="4" x14ac:dyDescent="0.25">
      <c r="A51" s="204" t="s">
        <v>203</v>
      </c>
      <c r="B51" s="201" t="s">
        <v>204</v>
      </c>
      <c r="C51" s="201" t="s">
        <v>239</v>
      </c>
      <c r="D51" s="201" t="s">
        <v>32</v>
      </c>
      <c r="E51" s="202">
        <v>1713600</v>
      </c>
      <c r="F51" s="202">
        <v>1713600</v>
      </c>
      <c r="G51" s="202">
        <v>1181003.44</v>
      </c>
      <c r="H51" s="202">
        <v>1181003.44</v>
      </c>
      <c r="I51" s="203">
        <v>0.68919435107376281</v>
      </c>
      <c r="J51" s="231"/>
    </row>
    <row r="52" spans="1:10" ht="75" outlineLevel="3" x14ac:dyDescent="0.25">
      <c r="A52" s="204" t="s">
        <v>211</v>
      </c>
      <c r="B52" s="201"/>
      <c r="C52" s="201" t="s">
        <v>240</v>
      </c>
      <c r="D52" s="201" t="s">
        <v>32</v>
      </c>
      <c r="E52" s="202">
        <v>472834680</v>
      </c>
      <c r="F52" s="202">
        <v>472834680</v>
      </c>
      <c r="G52" s="202">
        <v>352455705.02999997</v>
      </c>
      <c r="H52" s="202">
        <v>352455705.02999997</v>
      </c>
      <c r="I52" s="203">
        <v>0.74541001313609234</v>
      </c>
      <c r="J52" s="231"/>
    </row>
    <row r="53" spans="1:10" ht="30" outlineLevel="4" x14ac:dyDescent="0.25">
      <c r="A53" s="204" t="s">
        <v>203</v>
      </c>
      <c r="B53" s="201" t="s">
        <v>204</v>
      </c>
      <c r="C53" s="201" t="s">
        <v>240</v>
      </c>
      <c r="D53" s="201" t="s">
        <v>32</v>
      </c>
      <c r="E53" s="202">
        <v>472834680</v>
      </c>
      <c r="F53" s="202">
        <v>472834680</v>
      </c>
      <c r="G53" s="202">
        <v>352455705.02999997</v>
      </c>
      <c r="H53" s="202">
        <v>352455705.02999997</v>
      </c>
      <c r="I53" s="203">
        <v>0.74541001313609234</v>
      </c>
      <c r="J53" s="231"/>
    </row>
    <row r="54" spans="1:10" ht="105" outlineLevel="3" x14ac:dyDescent="0.25">
      <c r="A54" s="204" t="s">
        <v>217</v>
      </c>
      <c r="B54" s="201"/>
      <c r="C54" s="201" t="s">
        <v>241</v>
      </c>
      <c r="D54" s="201" t="s">
        <v>30</v>
      </c>
      <c r="E54" s="202">
        <v>46153.39</v>
      </c>
      <c r="F54" s="202">
        <v>46153.39</v>
      </c>
      <c r="G54" s="202">
        <v>34614</v>
      </c>
      <c r="H54" s="202">
        <v>34614</v>
      </c>
      <c r="I54" s="203">
        <v>0.74997741227675796</v>
      </c>
      <c r="J54" s="231"/>
    </row>
    <row r="55" spans="1:10" ht="30" outlineLevel="4" x14ac:dyDescent="0.25">
      <c r="A55" s="204" t="s">
        <v>203</v>
      </c>
      <c r="B55" s="201" t="s">
        <v>204</v>
      </c>
      <c r="C55" s="201" t="s">
        <v>241</v>
      </c>
      <c r="D55" s="201" t="s">
        <v>30</v>
      </c>
      <c r="E55" s="202">
        <v>46153.39</v>
      </c>
      <c r="F55" s="202">
        <v>46153.39</v>
      </c>
      <c r="G55" s="202">
        <v>34614</v>
      </c>
      <c r="H55" s="202">
        <v>34614</v>
      </c>
      <c r="I55" s="203">
        <v>0.74997741227675796</v>
      </c>
      <c r="J55" s="231"/>
    </row>
    <row r="56" spans="1:10" ht="60" outlineLevel="2" x14ac:dyDescent="0.25">
      <c r="A56" s="204" t="s">
        <v>242</v>
      </c>
      <c r="B56" s="201"/>
      <c r="C56" s="201"/>
      <c r="D56" s="201"/>
      <c r="E56" s="202">
        <v>45009035.829999998</v>
      </c>
      <c r="F56" s="202">
        <v>44847288.810000002</v>
      </c>
      <c r="G56" s="202">
        <v>42805235.859999999</v>
      </c>
      <c r="H56" s="202">
        <v>42805235.859999999</v>
      </c>
      <c r="I56" s="203">
        <v>0.95103649901935705</v>
      </c>
      <c r="J56" s="231"/>
    </row>
    <row r="57" spans="1:10" ht="30" outlineLevel="3" x14ac:dyDescent="0.25">
      <c r="A57" s="204" t="s">
        <v>222</v>
      </c>
      <c r="B57" s="201"/>
      <c r="C57" s="201" t="s">
        <v>243</v>
      </c>
      <c r="D57" s="201" t="s">
        <v>30</v>
      </c>
      <c r="E57" s="202">
        <v>6386195.0199999996</v>
      </c>
      <c r="F57" s="202">
        <v>6224448</v>
      </c>
      <c r="G57" s="202">
        <v>6224448</v>
      </c>
      <c r="H57" s="202">
        <v>6224448</v>
      </c>
      <c r="I57" s="203">
        <v>0.97467239577033771</v>
      </c>
      <c r="J57" s="231"/>
    </row>
    <row r="58" spans="1:10" ht="30" outlineLevel="4" x14ac:dyDescent="0.25">
      <c r="A58" s="204" t="s">
        <v>203</v>
      </c>
      <c r="B58" s="201" t="s">
        <v>204</v>
      </c>
      <c r="C58" s="201" t="s">
        <v>243</v>
      </c>
      <c r="D58" s="201" t="s">
        <v>30</v>
      </c>
      <c r="E58" s="202">
        <v>6386195.0199999996</v>
      </c>
      <c r="F58" s="202">
        <v>6224448</v>
      </c>
      <c r="G58" s="202">
        <v>6224448</v>
      </c>
      <c r="H58" s="202">
        <v>6224448</v>
      </c>
      <c r="I58" s="203">
        <v>0.97467239577033771</v>
      </c>
      <c r="J58" s="231"/>
    </row>
    <row r="59" spans="1:10" ht="30" outlineLevel="3" x14ac:dyDescent="0.25">
      <c r="A59" s="204" t="s">
        <v>224</v>
      </c>
      <c r="B59" s="201"/>
      <c r="C59" s="201" t="s">
        <v>244</v>
      </c>
      <c r="D59" s="201" t="s">
        <v>30</v>
      </c>
      <c r="E59" s="202">
        <v>2458260</v>
      </c>
      <c r="F59" s="202">
        <v>2458260</v>
      </c>
      <c r="G59" s="202">
        <v>615600</v>
      </c>
      <c r="H59" s="202">
        <v>615600</v>
      </c>
      <c r="I59" s="203">
        <v>0.2504210295086769</v>
      </c>
      <c r="J59" s="231"/>
    </row>
    <row r="60" spans="1:10" ht="30" outlineLevel="4" x14ac:dyDescent="0.25">
      <c r="A60" s="204" t="s">
        <v>203</v>
      </c>
      <c r="B60" s="201" t="s">
        <v>204</v>
      </c>
      <c r="C60" s="201" t="s">
        <v>244</v>
      </c>
      <c r="D60" s="201" t="s">
        <v>30</v>
      </c>
      <c r="E60" s="202">
        <v>2458260</v>
      </c>
      <c r="F60" s="202">
        <v>2458260</v>
      </c>
      <c r="G60" s="202">
        <v>615600</v>
      </c>
      <c r="H60" s="202">
        <v>615600</v>
      </c>
      <c r="I60" s="203">
        <v>0.2504210295086769</v>
      </c>
      <c r="J60" s="231"/>
    </row>
    <row r="61" spans="1:10" ht="45" outlineLevel="3" x14ac:dyDescent="0.25">
      <c r="A61" s="204" t="s">
        <v>245</v>
      </c>
      <c r="B61" s="201"/>
      <c r="C61" s="201" t="s">
        <v>246</v>
      </c>
      <c r="D61" s="201" t="s">
        <v>32</v>
      </c>
      <c r="E61" s="202">
        <v>4114410</v>
      </c>
      <c r="F61" s="202">
        <v>4114410</v>
      </c>
      <c r="G61" s="202">
        <v>4114410</v>
      </c>
      <c r="H61" s="202">
        <v>4114410</v>
      </c>
      <c r="I61" s="203">
        <v>1</v>
      </c>
      <c r="J61" s="231"/>
    </row>
    <row r="62" spans="1:10" ht="30" outlineLevel="4" x14ac:dyDescent="0.25">
      <c r="A62" s="204" t="s">
        <v>203</v>
      </c>
      <c r="B62" s="201" t="s">
        <v>204</v>
      </c>
      <c r="C62" s="201" t="s">
        <v>246</v>
      </c>
      <c r="D62" s="201" t="s">
        <v>32</v>
      </c>
      <c r="E62" s="202">
        <v>4114410</v>
      </c>
      <c r="F62" s="202">
        <v>4114410</v>
      </c>
      <c r="G62" s="202">
        <v>4114410</v>
      </c>
      <c r="H62" s="202">
        <v>4114410</v>
      </c>
      <c r="I62" s="203">
        <v>1</v>
      </c>
      <c r="J62" s="231"/>
    </row>
    <row r="63" spans="1:10" ht="19.5" customHeight="1" outlineLevel="3" x14ac:dyDescent="0.25">
      <c r="A63" s="513" t="s">
        <v>247</v>
      </c>
      <c r="B63" s="205">
        <v>918</v>
      </c>
      <c r="C63" s="516" t="s">
        <v>248</v>
      </c>
      <c r="D63" s="206" t="s">
        <v>28</v>
      </c>
      <c r="E63" s="207">
        <v>31716570</v>
      </c>
      <c r="F63" s="207">
        <v>31716570</v>
      </c>
      <c r="G63" s="207">
        <v>31517177.050000001</v>
      </c>
      <c r="H63" s="207">
        <v>31517177.050000001</v>
      </c>
      <c r="I63" s="208">
        <v>0.99371328772310497</v>
      </c>
      <c r="J63" s="231"/>
    </row>
    <row r="64" spans="1:10" outlineLevel="3" x14ac:dyDescent="0.25">
      <c r="A64" s="514"/>
      <c r="B64" s="209">
        <v>918</v>
      </c>
      <c r="C64" s="517"/>
      <c r="D64" s="206" t="s">
        <v>34</v>
      </c>
      <c r="E64" s="207">
        <v>22518700</v>
      </c>
      <c r="F64" s="207">
        <v>22518700</v>
      </c>
      <c r="G64" s="207">
        <v>22377195.699999999</v>
      </c>
      <c r="H64" s="207">
        <v>22377195.699999999</v>
      </c>
      <c r="I64" s="208"/>
      <c r="J64" s="231"/>
    </row>
    <row r="65" spans="1:12" outlineLevel="3" x14ac:dyDescent="0.25">
      <c r="A65" s="514"/>
      <c r="B65" s="210">
        <v>918</v>
      </c>
      <c r="C65" s="517"/>
      <c r="D65" s="206" t="s">
        <v>32</v>
      </c>
      <c r="E65" s="207">
        <v>9197870</v>
      </c>
      <c r="F65" s="207">
        <v>9197870</v>
      </c>
      <c r="G65" s="207">
        <v>9139981.3499999996</v>
      </c>
      <c r="H65" s="207">
        <v>9139981.3499999996</v>
      </c>
      <c r="I65" s="208"/>
      <c r="J65" s="231"/>
    </row>
    <row r="66" spans="1:12" ht="75" outlineLevel="3" x14ac:dyDescent="0.25">
      <c r="A66" s="204" t="s">
        <v>249</v>
      </c>
      <c r="B66" s="201"/>
      <c r="C66" s="201" t="s">
        <v>250</v>
      </c>
      <c r="D66" s="201" t="s">
        <v>30</v>
      </c>
      <c r="E66" s="202">
        <v>333600.81</v>
      </c>
      <c r="F66" s="202">
        <v>333600.81</v>
      </c>
      <c r="G66" s="202">
        <v>333600.81</v>
      </c>
      <c r="H66" s="202">
        <v>333600.81</v>
      </c>
      <c r="I66" s="203">
        <v>1</v>
      </c>
      <c r="J66" s="231"/>
    </row>
    <row r="67" spans="1:12" ht="30" outlineLevel="4" x14ac:dyDescent="0.25">
      <c r="A67" s="204" t="s">
        <v>203</v>
      </c>
      <c r="B67" s="201" t="s">
        <v>204</v>
      </c>
      <c r="C67" s="201" t="s">
        <v>250</v>
      </c>
      <c r="D67" s="201" t="s">
        <v>30</v>
      </c>
      <c r="E67" s="202">
        <v>333600.81</v>
      </c>
      <c r="F67" s="202">
        <v>333600.81</v>
      </c>
      <c r="G67" s="202">
        <v>333600.81</v>
      </c>
      <c r="H67" s="202">
        <v>333600.81</v>
      </c>
      <c r="I67" s="203">
        <v>1</v>
      </c>
      <c r="J67" s="231"/>
    </row>
    <row r="68" spans="1:12" ht="30" outlineLevel="1" x14ac:dyDescent="0.25">
      <c r="A68" s="200" t="s">
        <v>251</v>
      </c>
      <c r="B68" s="201"/>
      <c r="C68" s="201"/>
      <c r="D68" s="201"/>
      <c r="E68" s="202">
        <v>361971882.33999997</v>
      </c>
      <c r="F68" s="202">
        <v>361971882.33999997</v>
      </c>
      <c r="G68" s="202">
        <v>275836727.55000001</v>
      </c>
      <c r="H68" s="202">
        <v>275836727.55000001</v>
      </c>
      <c r="I68" s="203">
        <v>0.7620391002937259</v>
      </c>
      <c r="J68" s="231"/>
      <c r="K68" s="234">
        <f>'11а. Отч мероп 01.10.21 '!D139+'11а. Отч мероп 01.10.21 '!D140+'11а. Отч мероп 01.10.21 '!D141</f>
        <v>361971882.34000003</v>
      </c>
      <c r="L68" s="234">
        <f>'11а. Отч мероп 01.10.21 '!E139+'11а. Отч мероп 01.10.21 '!E140+'11а. Отч мероп 01.10.21 '!E141</f>
        <v>194746008.86250001</v>
      </c>
    </row>
    <row r="69" spans="1:12" ht="30" outlineLevel="2" x14ac:dyDescent="0.25">
      <c r="A69" s="204" t="s">
        <v>252</v>
      </c>
      <c r="B69" s="201"/>
      <c r="C69" s="201"/>
      <c r="D69" s="201"/>
      <c r="E69" s="202">
        <v>258861576.38</v>
      </c>
      <c r="F69" s="202">
        <v>258861576.38</v>
      </c>
      <c r="G69" s="202">
        <v>194746008.86000001</v>
      </c>
      <c r="H69" s="202">
        <v>194746008.86000001</v>
      </c>
      <c r="I69" s="203">
        <v>0.75231717114369834</v>
      </c>
      <c r="J69" s="231"/>
      <c r="K69" s="234">
        <f>K68-E69</f>
        <v>103110305.96000004</v>
      </c>
    </row>
    <row r="70" spans="1:12" ht="60" outlineLevel="3" x14ac:dyDescent="0.25">
      <c r="A70" s="204" t="s">
        <v>201</v>
      </c>
      <c r="B70" s="201"/>
      <c r="C70" s="201" t="s">
        <v>253</v>
      </c>
      <c r="D70" s="201" t="s">
        <v>30</v>
      </c>
      <c r="E70" s="202">
        <v>105300801.41</v>
      </c>
      <c r="F70" s="202">
        <v>105300801.41</v>
      </c>
      <c r="G70" s="202">
        <v>85518776.510000005</v>
      </c>
      <c r="H70" s="202">
        <v>85518776.510000005</v>
      </c>
      <c r="I70" s="203">
        <v>0.81213794543712392</v>
      </c>
      <c r="J70" s="231"/>
      <c r="L70" s="233">
        <f>H78+H92+H103</f>
        <v>23550666.77</v>
      </c>
    </row>
    <row r="71" spans="1:12" ht="30" outlineLevel="4" x14ac:dyDescent="0.25">
      <c r="A71" s="204" t="s">
        <v>203</v>
      </c>
      <c r="B71" s="201" t="s">
        <v>204</v>
      </c>
      <c r="C71" s="201" t="s">
        <v>253</v>
      </c>
      <c r="D71" s="201" t="s">
        <v>30</v>
      </c>
      <c r="E71" s="202">
        <v>105300801.41</v>
      </c>
      <c r="F71" s="202">
        <v>105300801.41</v>
      </c>
      <c r="G71" s="202">
        <v>85518776.510000005</v>
      </c>
      <c r="H71" s="202">
        <v>85518776.510000005</v>
      </c>
      <c r="I71" s="203">
        <v>0.81213794543712392</v>
      </c>
      <c r="J71" s="231"/>
      <c r="L71" s="233">
        <f>H102</f>
        <v>6505365.2300000004</v>
      </c>
    </row>
    <row r="72" spans="1:12" ht="75" outlineLevel="3" x14ac:dyDescent="0.25">
      <c r="A72" s="204" t="s">
        <v>205</v>
      </c>
      <c r="B72" s="201"/>
      <c r="C72" s="201" t="s">
        <v>254</v>
      </c>
      <c r="D72" s="201" t="s">
        <v>30</v>
      </c>
      <c r="E72" s="202">
        <v>3466116.67</v>
      </c>
      <c r="F72" s="202">
        <v>3466116.67</v>
      </c>
      <c r="G72" s="202">
        <v>2695928.32</v>
      </c>
      <c r="H72" s="202">
        <v>2695928.32</v>
      </c>
      <c r="I72" s="203">
        <v>0.77779503019441065</v>
      </c>
      <c r="J72" s="231"/>
    </row>
    <row r="73" spans="1:12" ht="30" outlineLevel="4" x14ac:dyDescent="0.25">
      <c r="A73" s="204" t="s">
        <v>203</v>
      </c>
      <c r="B73" s="201" t="s">
        <v>204</v>
      </c>
      <c r="C73" s="201" t="s">
        <v>254</v>
      </c>
      <c r="D73" s="201" t="s">
        <v>30</v>
      </c>
      <c r="E73" s="202">
        <v>3466116.67</v>
      </c>
      <c r="F73" s="202">
        <v>3466116.67</v>
      </c>
      <c r="G73" s="202">
        <v>2695928.32</v>
      </c>
      <c r="H73" s="202">
        <v>2695928.32</v>
      </c>
      <c r="I73" s="203">
        <v>0.77779503019441065</v>
      </c>
      <c r="J73" s="231"/>
    </row>
    <row r="74" spans="1:12" ht="75" outlineLevel="3" x14ac:dyDescent="0.25">
      <c r="A74" s="204" t="s">
        <v>207</v>
      </c>
      <c r="B74" s="201"/>
      <c r="C74" s="201" t="s">
        <v>255</v>
      </c>
      <c r="D74" s="201" t="s">
        <v>30</v>
      </c>
      <c r="E74" s="202">
        <v>180580</v>
      </c>
      <c r="F74" s="202">
        <v>180580</v>
      </c>
      <c r="G74" s="202">
        <v>25855</v>
      </c>
      <c r="H74" s="202">
        <v>25855</v>
      </c>
      <c r="I74" s="203">
        <v>0.1431775390408683</v>
      </c>
      <c r="J74" s="231"/>
    </row>
    <row r="75" spans="1:12" ht="30" outlineLevel="4" x14ac:dyDescent="0.25">
      <c r="A75" s="204" t="s">
        <v>203</v>
      </c>
      <c r="B75" s="201" t="s">
        <v>204</v>
      </c>
      <c r="C75" s="201" t="s">
        <v>255</v>
      </c>
      <c r="D75" s="201" t="s">
        <v>30</v>
      </c>
      <c r="E75" s="202">
        <v>180580</v>
      </c>
      <c r="F75" s="202">
        <v>180580</v>
      </c>
      <c r="G75" s="202">
        <v>25855</v>
      </c>
      <c r="H75" s="202">
        <v>25855</v>
      </c>
      <c r="I75" s="203">
        <v>0.1431775390408683</v>
      </c>
      <c r="J75" s="231"/>
    </row>
    <row r="76" spans="1:12" ht="30" outlineLevel="3" x14ac:dyDescent="0.25">
      <c r="A76" s="204" t="s">
        <v>224</v>
      </c>
      <c r="B76" s="201"/>
      <c r="C76" s="201" t="s">
        <v>256</v>
      </c>
      <c r="D76" s="201" t="s">
        <v>30</v>
      </c>
      <c r="E76" s="202">
        <v>18117655</v>
      </c>
      <c r="F76" s="202">
        <v>18117655</v>
      </c>
      <c r="G76" s="202">
        <v>7767288.1200000001</v>
      </c>
      <c r="H76" s="202">
        <v>7767288.1200000001</v>
      </c>
      <c r="I76" s="203">
        <v>0.42871376676506978</v>
      </c>
      <c r="J76" s="231"/>
    </row>
    <row r="77" spans="1:12" ht="30" outlineLevel="4" x14ac:dyDescent="0.25">
      <c r="A77" s="204" t="s">
        <v>203</v>
      </c>
      <c r="B77" s="201" t="s">
        <v>204</v>
      </c>
      <c r="C77" s="201" t="s">
        <v>256</v>
      </c>
      <c r="D77" s="201" t="s">
        <v>30</v>
      </c>
      <c r="E77" s="202">
        <v>18117655</v>
      </c>
      <c r="F77" s="202">
        <v>18117655</v>
      </c>
      <c r="G77" s="202">
        <v>7767288.1200000001</v>
      </c>
      <c r="H77" s="202">
        <v>7767288.1200000001</v>
      </c>
      <c r="I77" s="203">
        <v>0.42871376676506978</v>
      </c>
      <c r="J77" s="231"/>
    </row>
    <row r="78" spans="1:12" ht="75" outlineLevel="3" x14ac:dyDescent="0.25">
      <c r="A78" s="204" t="s">
        <v>209</v>
      </c>
      <c r="B78" s="201"/>
      <c r="C78" s="201" t="s">
        <v>257</v>
      </c>
      <c r="D78" s="201" t="s">
        <v>32</v>
      </c>
      <c r="E78" s="202">
        <v>19010978.859999999</v>
      </c>
      <c r="F78" s="202">
        <v>19010978.859999999</v>
      </c>
      <c r="G78" s="202">
        <v>14182127.619999999</v>
      </c>
      <c r="H78" s="202">
        <v>14182127.619999999</v>
      </c>
      <c r="I78" s="203">
        <v>0.74599670666300455</v>
      </c>
      <c r="J78" s="231"/>
    </row>
    <row r="79" spans="1:12" ht="30" outlineLevel="4" x14ac:dyDescent="0.25">
      <c r="A79" s="204" t="s">
        <v>203</v>
      </c>
      <c r="B79" s="201" t="s">
        <v>204</v>
      </c>
      <c r="C79" s="201" t="s">
        <v>257</v>
      </c>
      <c r="D79" s="201" t="s">
        <v>32</v>
      </c>
      <c r="E79" s="202">
        <v>19010978.859999999</v>
      </c>
      <c r="F79" s="202">
        <v>19010978.859999999</v>
      </c>
      <c r="G79" s="202">
        <v>14182127.619999999</v>
      </c>
      <c r="H79" s="202">
        <v>14182127.619999999</v>
      </c>
      <c r="I79" s="203">
        <v>0.74599670666300455</v>
      </c>
      <c r="J79" s="231"/>
    </row>
    <row r="80" spans="1:12" ht="105" outlineLevel="3" x14ac:dyDescent="0.25">
      <c r="A80" s="204" t="s">
        <v>217</v>
      </c>
      <c r="B80" s="201"/>
      <c r="C80" s="201" t="s">
        <v>258</v>
      </c>
      <c r="D80" s="201" t="s">
        <v>30</v>
      </c>
      <c r="E80" s="202">
        <v>1541430.71</v>
      </c>
      <c r="F80" s="202">
        <v>1541430.71</v>
      </c>
      <c r="G80" s="202">
        <v>1162558.94</v>
      </c>
      <c r="H80" s="202">
        <v>1162558.94</v>
      </c>
      <c r="I80" s="203">
        <v>0.75420771913905882</v>
      </c>
      <c r="J80" s="231"/>
    </row>
    <row r="81" spans="1:10" ht="30" outlineLevel="4" x14ac:dyDescent="0.25">
      <c r="A81" s="204" t="s">
        <v>203</v>
      </c>
      <c r="B81" s="201" t="s">
        <v>204</v>
      </c>
      <c r="C81" s="201" t="s">
        <v>258</v>
      </c>
      <c r="D81" s="201" t="s">
        <v>30</v>
      </c>
      <c r="E81" s="202">
        <v>1541430.71</v>
      </c>
      <c r="F81" s="202">
        <v>1541430.71</v>
      </c>
      <c r="G81" s="202">
        <v>1162558.94</v>
      </c>
      <c r="H81" s="202">
        <v>1162558.94</v>
      </c>
      <c r="I81" s="203">
        <v>0.75420771913905882</v>
      </c>
      <c r="J81" s="231"/>
    </row>
    <row r="82" spans="1:10" ht="150" outlineLevel="3" x14ac:dyDescent="0.25">
      <c r="A82" s="204" t="s">
        <v>219</v>
      </c>
      <c r="B82" s="201"/>
      <c r="C82" s="201" t="s">
        <v>259</v>
      </c>
      <c r="D82" s="201" t="s">
        <v>30</v>
      </c>
      <c r="E82" s="202">
        <v>111244013.73</v>
      </c>
      <c r="F82" s="202">
        <v>111244013.73</v>
      </c>
      <c r="G82" s="202">
        <v>83393474.349999994</v>
      </c>
      <c r="H82" s="202">
        <v>83393474.349999994</v>
      </c>
      <c r="I82" s="203">
        <v>0.74964460157293533</v>
      </c>
      <c r="J82" s="231"/>
    </row>
    <row r="83" spans="1:10" ht="30" outlineLevel="4" x14ac:dyDescent="0.25">
      <c r="A83" s="204" t="s">
        <v>203</v>
      </c>
      <c r="B83" s="201" t="s">
        <v>204</v>
      </c>
      <c r="C83" s="201" t="s">
        <v>259</v>
      </c>
      <c r="D83" s="201" t="s">
        <v>30</v>
      </c>
      <c r="E83" s="202">
        <v>111244013.73</v>
      </c>
      <c r="F83" s="202">
        <v>111244013.73</v>
      </c>
      <c r="G83" s="202">
        <v>83393474.349999994</v>
      </c>
      <c r="H83" s="202">
        <v>83393474.349999994</v>
      </c>
      <c r="I83" s="203">
        <v>0.74964460157293533</v>
      </c>
      <c r="J83" s="231"/>
    </row>
    <row r="84" spans="1:10" ht="30" outlineLevel="2" x14ac:dyDescent="0.25">
      <c r="A84" s="204" t="s">
        <v>260</v>
      </c>
      <c r="B84" s="201"/>
      <c r="C84" s="201"/>
      <c r="D84" s="201"/>
      <c r="E84" s="202">
        <v>84413614.579999998</v>
      </c>
      <c r="F84" s="202">
        <v>84413614.579999998</v>
      </c>
      <c r="G84" s="202">
        <v>62427804.549999997</v>
      </c>
      <c r="H84" s="202">
        <v>62427804.549999997</v>
      </c>
      <c r="I84" s="203">
        <v>0.73954663427942979</v>
      </c>
      <c r="J84" s="231"/>
    </row>
    <row r="85" spans="1:10" ht="60" outlineLevel="3" x14ac:dyDescent="0.25">
      <c r="A85" s="204" t="s">
        <v>201</v>
      </c>
      <c r="B85" s="201"/>
      <c r="C85" s="201" t="s">
        <v>261</v>
      </c>
      <c r="D85" s="201" t="s">
        <v>30</v>
      </c>
      <c r="E85" s="202">
        <v>24440465.300000001</v>
      </c>
      <c r="F85" s="202">
        <v>24440465.300000001</v>
      </c>
      <c r="G85" s="202">
        <v>18719984.210000001</v>
      </c>
      <c r="H85" s="202">
        <v>18719984.210000001</v>
      </c>
      <c r="I85" s="203">
        <v>0.76594221837503229</v>
      </c>
      <c r="J85" s="231"/>
    </row>
    <row r="86" spans="1:10" ht="45" outlineLevel="4" x14ac:dyDescent="0.25">
      <c r="A86" s="204" t="s">
        <v>262</v>
      </c>
      <c r="B86" s="201" t="s">
        <v>263</v>
      </c>
      <c r="C86" s="201" t="s">
        <v>261</v>
      </c>
      <c r="D86" s="201" t="s">
        <v>30</v>
      </c>
      <c r="E86" s="202">
        <v>24440465.300000001</v>
      </c>
      <c r="F86" s="202">
        <v>24440465.300000001</v>
      </c>
      <c r="G86" s="202">
        <v>18719984.210000001</v>
      </c>
      <c r="H86" s="202">
        <v>18719984.210000001</v>
      </c>
      <c r="I86" s="203">
        <v>0.76594221837503229</v>
      </c>
      <c r="J86" s="231"/>
    </row>
    <row r="87" spans="1:10" ht="75" outlineLevel="3" x14ac:dyDescent="0.25">
      <c r="A87" s="204" t="s">
        <v>205</v>
      </c>
      <c r="B87" s="201"/>
      <c r="C87" s="201" t="s">
        <v>264</v>
      </c>
      <c r="D87" s="201" t="s">
        <v>30</v>
      </c>
      <c r="E87" s="202">
        <v>799978.91</v>
      </c>
      <c r="F87" s="202">
        <v>799978.91</v>
      </c>
      <c r="G87" s="202">
        <v>799978.91</v>
      </c>
      <c r="H87" s="202">
        <v>799978.91</v>
      </c>
      <c r="I87" s="203">
        <v>1</v>
      </c>
      <c r="J87" s="231"/>
    </row>
    <row r="88" spans="1:10" ht="45" outlineLevel="4" x14ac:dyDescent="0.25">
      <c r="A88" s="204" t="s">
        <v>262</v>
      </c>
      <c r="B88" s="201" t="s">
        <v>263</v>
      </c>
      <c r="C88" s="201" t="s">
        <v>264</v>
      </c>
      <c r="D88" s="201" t="s">
        <v>30</v>
      </c>
      <c r="E88" s="202">
        <v>799978.91</v>
      </c>
      <c r="F88" s="202">
        <v>799978.91</v>
      </c>
      <c r="G88" s="202">
        <v>799978.91</v>
      </c>
      <c r="H88" s="202">
        <v>799978.91</v>
      </c>
      <c r="I88" s="203">
        <v>1</v>
      </c>
      <c r="J88" s="231"/>
    </row>
    <row r="89" spans="1:10" ht="75" outlineLevel="3" x14ac:dyDescent="0.25">
      <c r="A89" s="204" t="s">
        <v>207</v>
      </c>
      <c r="B89" s="201"/>
      <c r="C89" s="201" t="s">
        <v>265</v>
      </c>
      <c r="D89" s="201" t="s">
        <v>30</v>
      </c>
      <c r="E89" s="202">
        <v>70000</v>
      </c>
      <c r="F89" s="202">
        <v>70000</v>
      </c>
      <c r="G89" s="202">
        <v>70000</v>
      </c>
      <c r="H89" s="202">
        <v>70000</v>
      </c>
      <c r="I89" s="203">
        <v>1</v>
      </c>
      <c r="J89" s="231"/>
    </row>
    <row r="90" spans="1:10" ht="45" outlineLevel="4" x14ac:dyDescent="0.25">
      <c r="A90" s="204" t="s">
        <v>262</v>
      </c>
      <c r="B90" s="201" t="s">
        <v>263</v>
      </c>
      <c r="C90" s="201" t="s">
        <v>265</v>
      </c>
      <c r="D90" s="201" t="s">
        <v>30</v>
      </c>
      <c r="E90" s="202">
        <v>70000</v>
      </c>
      <c r="F90" s="202">
        <v>70000</v>
      </c>
      <c r="G90" s="202">
        <v>70000</v>
      </c>
      <c r="H90" s="202">
        <v>70000</v>
      </c>
      <c r="I90" s="203">
        <v>1</v>
      </c>
      <c r="J90" s="231"/>
    </row>
    <row r="91" spans="1:10" ht="75" outlineLevel="3" x14ac:dyDescent="0.25">
      <c r="A91" s="204" t="s">
        <v>209</v>
      </c>
      <c r="B91" s="201"/>
      <c r="C91" s="201" t="s">
        <v>266</v>
      </c>
      <c r="D91" s="201" t="s">
        <v>32</v>
      </c>
      <c r="E91" s="202">
        <v>3863306.45</v>
      </c>
      <c r="F91" s="202">
        <v>3863306.45</v>
      </c>
      <c r="G91" s="202">
        <v>2897479.85</v>
      </c>
      <c r="H91" s="202">
        <v>2897479.85</v>
      </c>
      <c r="I91" s="203">
        <v>0.75000000323557037</v>
      </c>
      <c r="J91" s="231"/>
    </row>
    <row r="92" spans="1:10" ht="45" outlineLevel="4" x14ac:dyDescent="0.25">
      <c r="A92" s="204" t="s">
        <v>262</v>
      </c>
      <c r="B92" s="201" t="s">
        <v>263</v>
      </c>
      <c r="C92" s="201" t="s">
        <v>266</v>
      </c>
      <c r="D92" s="201" t="s">
        <v>32</v>
      </c>
      <c r="E92" s="202">
        <v>3863306.45</v>
      </c>
      <c r="F92" s="202">
        <v>3863306.45</v>
      </c>
      <c r="G92" s="202">
        <v>2897479.85</v>
      </c>
      <c r="H92" s="202">
        <v>2897479.85</v>
      </c>
      <c r="I92" s="203">
        <v>0.75000000323557037</v>
      </c>
      <c r="J92" s="231"/>
    </row>
    <row r="93" spans="1:10" ht="105" outlineLevel="3" x14ac:dyDescent="0.25">
      <c r="A93" s="204" t="s">
        <v>217</v>
      </c>
      <c r="B93" s="201"/>
      <c r="C93" s="201" t="s">
        <v>267</v>
      </c>
      <c r="D93" s="201" t="s">
        <v>30</v>
      </c>
      <c r="E93" s="202">
        <v>313241.06</v>
      </c>
      <c r="F93" s="202">
        <v>313241.06</v>
      </c>
      <c r="G93" s="202">
        <v>213731.56</v>
      </c>
      <c r="H93" s="202">
        <v>213731.56</v>
      </c>
      <c r="I93" s="203">
        <v>0.68232293684614653</v>
      </c>
      <c r="J93" s="231"/>
    </row>
    <row r="94" spans="1:10" ht="45" outlineLevel="4" x14ac:dyDescent="0.25">
      <c r="A94" s="204" t="s">
        <v>262</v>
      </c>
      <c r="B94" s="201" t="s">
        <v>263</v>
      </c>
      <c r="C94" s="201" t="s">
        <v>267</v>
      </c>
      <c r="D94" s="201" t="s">
        <v>30</v>
      </c>
      <c r="E94" s="202">
        <v>313241.06</v>
      </c>
      <c r="F94" s="202">
        <v>313241.06</v>
      </c>
      <c r="G94" s="202">
        <v>213731.56</v>
      </c>
      <c r="H94" s="202">
        <v>213731.56</v>
      </c>
      <c r="I94" s="203">
        <v>0.68232293684614653</v>
      </c>
      <c r="J94" s="231"/>
    </row>
    <row r="95" spans="1:10" ht="150" outlineLevel="3" x14ac:dyDescent="0.25">
      <c r="A95" s="204" t="s">
        <v>219</v>
      </c>
      <c r="B95" s="201"/>
      <c r="C95" s="201" t="s">
        <v>268</v>
      </c>
      <c r="D95" s="201" t="s">
        <v>30</v>
      </c>
      <c r="E95" s="202">
        <v>54926622.859999999</v>
      </c>
      <c r="F95" s="202">
        <v>54926622.859999999</v>
      </c>
      <c r="G95" s="202">
        <v>39726630.020000003</v>
      </c>
      <c r="H95" s="202">
        <v>39726630.020000003</v>
      </c>
      <c r="I95" s="203">
        <v>0.72326729646673205</v>
      </c>
      <c r="J95" s="231"/>
    </row>
    <row r="96" spans="1:10" ht="45" outlineLevel="4" x14ac:dyDescent="0.25">
      <c r="A96" s="204" t="s">
        <v>262</v>
      </c>
      <c r="B96" s="201" t="s">
        <v>263</v>
      </c>
      <c r="C96" s="201" t="s">
        <v>268</v>
      </c>
      <c r="D96" s="201" t="s">
        <v>30</v>
      </c>
      <c r="E96" s="202">
        <v>54926622.859999999</v>
      </c>
      <c r="F96" s="202">
        <v>54926622.859999999</v>
      </c>
      <c r="G96" s="202">
        <v>39726630.020000003</v>
      </c>
      <c r="H96" s="202">
        <v>39726630.020000003</v>
      </c>
      <c r="I96" s="203">
        <v>0.72326729646673205</v>
      </c>
      <c r="J96" s="231"/>
    </row>
    <row r="97" spans="1:10" ht="75" outlineLevel="2" x14ac:dyDescent="0.25">
      <c r="A97" s="204" t="s">
        <v>269</v>
      </c>
      <c r="B97" s="201"/>
      <c r="C97" s="201"/>
      <c r="D97" s="201"/>
      <c r="E97" s="202">
        <v>5000000</v>
      </c>
      <c r="F97" s="202">
        <v>5000000</v>
      </c>
      <c r="G97" s="202">
        <v>5000000</v>
      </c>
      <c r="H97" s="202">
        <v>5000000</v>
      </c>
      <c r="I97" s="203">
        <v>1</v>
      </c>
      <c r="J97" s="231"/>
    </row>
    <row r="98" spans="1:10" ht="30" outlineLevel="3" x14ac:dyDescent="0.25">
      <c r="A98" s="204" t="s">
        <v>222</v>
      </c>
      <c r="B98" s="201"/>
      <c r="C98" s="201" t="s">
        <v>270</v>
      </c>
      <c r="D98" s="201" t="s">
        <v>30</v>
      </c>
      <c r="E98" s="202">
        <v>5000000</v>
      </c>
      <c r="F98" s="202">
        <v>5000000</v>
      </c>
      <c r="G98" s="202">
        <v>5000000</v>
      </c>
      <c r="H98" s="202">
        <v>5000000</v>
      </c>
      <c r="I98" s="203">
        <v>1</v>
      </c>
      <c r="J98" s="231"/>
    </row>
    <row r="99" spans="1:10" ht="45" outlineLevel="4" x14ac:dyDescent="0.25">
      <c r="A99" s="204" t="s">
        <v>262</v>
      </c>
      <c r="B99" s="201" t="s">
        <v>263</v>
      </c>
      <c r="C99" s="201" t="s">
        <v>270</v>
      </c>
      <c r="D99" s="201" t="s">
        <v>30</v>
      </c>
      <c r="E99" s="202">
        <v>5000000</v>
      </c>
      <c r="F99" s="202">
        <v>5000000</v>
      </c>
      <c r="G99" s="202">
        <v>5000000</v>
      </c>
      <c r="H99" s="202">
        <v>5000000</v>
      </c>
      <c r="I99" s="203">
        <v>1</v>
      </c>
      <c r="J99" s="231"/>
    </row>
    <row r="100" spans="1:10" outlineLevel="2" x14ac:dyDescent="0.25">
      <c r="A100" s="204" t="s">
        <v>271</v>
      </c>
      <c r="B100" s="201"/>
      <c r="C100" s="201"/>
      <c r="D100" s="201"/>
      <c r="E100" s="202">
        <v>13696691.380000001</v>
      </c>
      <c r="F100" s="202">
        <v>13696691.380000001</v>
      </c>
      <c r="G100" s="202">
        <v>13662914.140000001</v>
      </c>
      <c r="H100" s="202">
        <v>13662914.140000001</v>
      </c>
      <c r="I100" s="203">
        <v>0.99753391245645484</v>
      </c>
      <c r="J100" s="231"/>
    </row>
    <row r="101" spans="1:10" outlineLevel="2" x14ac:dyDescent="0.25">
      <c r="A101" s="513" t="s">
        <v>272</v>
      </c>
      <c r="B101" s="205">
        <v>919</v>
      </c>
      <c r="C101" s="516" t="s">
        <v>273</v>
      </c>
      <c r="D101" s="206" t="s">
        <v>28</v>
      </c>
      <c r="E101" s="207">
        <f>E102+E103+E104</f>
        <v>13696691.380000001</v>
      </c>
      <c r="F101" s="207">
        <f>F102+F103+F104</f>
        <v>13696691.380000001</v>
      </c>
      <c r="G101" s="207">
        <f>G102+G103+G104</f>
        <v>13662914.140000001</v>
      </c>
      <c r="H101" s="207">
        <f>H102+H103+H104</f>
        <v>13662914.140000001</v>
      </c>
      <c r="I101" s="208">
        <f>H101/E101</f>
        <v>0.99753391245645484</v>
      </c>
      <c r="J101" s="231"/>
    </row>
    <row r="102" spans="1:10" outlineLevel="2" x14ac:dyDescent="0.25">
      <c r="A102" s="514"/>
      <c r="B102" s="209">
        <v>919</v>
      </c>
      <c r="C102" s="517"/>
      <c r="D102" s="206" t="s">
        <v>34</v>
      </c>
      <c r="E102" s="207">
        <v>6514425.8600000003</v>
      </c>
      <c r="F102" s="207">
        <v>6514425.8600000003</v>
      </c>
      <c r="G102" s="207">
        <v>6505365.2300000004</v>
      </c>
      <c r="H102" s="207">
        <v>6505365.2300000004</v>
      </c>
      <c r="I102" s="208">
        <f>H102/E102</f>
        <v>0.99860914373810994</v>
      </c>
      <c r="J102" s="231"/>
    </row>
    <row r="103" spans="1:10" ht="18.75" customHeight="1" outlineLevel="3" x14ac:dyDescent="0.25">
      <c r="A103" s="514"/>
      <c r="B103" s="209">
        <v>919</v>
      </c>
      <c r="C103" s="517"/>
      <c r="D103" s="206" t="s">
        <v>32</v>
      </c>
      <c r="E103" s="207">
        <v>6495041.1500000004</v>
      </c>
      <c r="F103" s="207">
        <v>6495041.1500000004</v>
      </c>
      <c r="G103" s="211">
        <v>6471059.2999999998</v>
      </c>
      <c r="H103" s="211">
        <v>6471059.2999999998</v>
      </c>
      <c r="I103" s="208">
        <f>H103/E103</f>
        <v>0.9963076677350996</v>
      </c>
      <c r="J103" s="231"/>
    </row>
    <row r="104" spans="1:10" ht="18" customHeight="1" outlineLevel="3" x14ac:dyDescent="0.25">
      <c r="A104" s="515"/>
      <c r="B104" s="210">
        <v>919</v>
      </c>
      <c r="C104" s="518"/>
      <c r="D104" s="206" t="s">
        <v>30</v>
      </c>
      <c r="E104" s="207">
        <v>687224.37</v>
      </c>
      <c r="F104" s="207">
        <v>687224.37</v>
      </c>
      <c r="G104" s="212">
        <v>686489.61</v>
      </c>
      <c r="H104" s="212">
        <v>686489.61</v>
      </c>
      <c r="I104" s="208">
        <f>H104/E104</f>
        <v>0.99893082953388279</v>
      </c>
      <c r="J104" s="231"/>
    </row>
    <row r="105" spans="1:10" ht="30" outlineLevel="1" x14ac:dyDescent="0.25">
      <c r="A105" s="200" t="s">
        <v>274</v>
      </c>
      <c r="B105" s="201"/>
      <c r="C105" s="201"/>
      <c r="D105" s="201"/>
      <c r="E105" s="202">
        <v>64819520.340000004</v>
      </c>
      <c r="F105" s="202">
        <v>64819520.340000004</v>
      </c>
      <c r="G105" s="202">
        <v>43107117.07</v>
      </c>
      <c r="H105" s="202">
        <v>43072658.5</v>
      </c>
      <c r="I105" s="203">
        <v>0.66503295371346161</v>
      </c>
      <c r="J105" s="231"/>
    </row>
    <row r="106" spans="1:10" ht="45" outlineLevel="2" x14ac:dyDescent="0.25">
      <c r="A106" s="204" t="s">
        <v>275</v>
      </c>
      <c r="B106" s="201"/>
      <c r="C106" s="201"/>
      <c r="D106" s="201"/>
      <c r="E106" s="202">
        <v>19028854.399999999</v>
      </c>
      <c r="F106" s="202">
        <v>19028854.399999999</v>
      </c>
      <c r="G106" s="202">
        <v>13608051.27</v>
      </c>
      <c r="H106" s="202">
        <v>13573592.699999999</v>
      </c>
      <c r="I106" s="203">
        <v>0.71512719494033228</v>
      </c>
      <c r="J106" s="231"/>
    </row>
    <row r="107" spans="1:10" ht="45" outlineLevel="3" x14ac:dyDescent="0.25">
      <c r="A107" s="204" t="s">
        <v>276</v>
      </c>
      <c r="B107" s="201"/>
      <c r="C107" s="201" t="s">
        <v>277</v>
      </c>
      <c r="D107" s="201" t="s">
        <v>30</v>
      </c>
      <c r="E107" s="202">
        <v>18446847.32</v>
      </c>
      <c r="F107" s="202">
        <v>18446847.32</v>
      </c>
      <c r="G107" s="202">
        <v>13380497.130000001</v>
      </c>
      <c r="H107" s="202">
        <v>13346038.560000001</v>
      </c>
      <c r="I107" s="203">
        <v>0.72535414306231705</v>
      </c>
      <c r="J107" s="231"/>
    </row>
    <row r="108" spans="1:10" ht="30" outlineLevel="4" x14ac:dyDescent="0.25">
      <c r="A108" s="204" t="s">
        <v>203</v>
      </c>
      <c r="B108" s="201" t="s">
        <v>204</v>
      </c>
      <c r="C108" s="201" t="s">
        <v>277</v>
      </c>
      <c r="D108" s="201" t="s">
        <v>30</v>
      </c>
      <c r="E108" s="202">
        <v>18446847.32</v>
      </c>
      <c r="F108" s="202">
        <v>18446847.32</v>
      </c>
      <c r="G108" s="202">
        <v>13380497.130000001</v>
      </c>
      <c r="H108" s="202">
        <v>13346038.560000001</v>
      </c>
      <c r="I108" s="203">
        <v>0.72535414306231705</v>
      </c>
      <c r="J108" s="231"/>
    </row>
    <row r="109" spans="1:10" ht="45" outlineLevel="3" x14ac:dyDescent="0.25">
      <c r="A109" s="204" t="s">
        <v>278</v>
      </c>
      <c r="B109" s="201"/>
      <c r="C109" s="201" t="s">
        <v>279</v>
      </c>
      <c r="D109" s="201" t="s">
        <v>30</v>
      </c>
      <c r="E109" s="202">
        <v>154462</v>
      </c>
      <c r="F109" s="202">
        <v>154462</v>
      </c>
      <c r="G109" s="202">
        <v>0</v>
      </c>
      <c r="H109" s="202">
        <v>0</v>
      </c>
      <c r="I109" s="203">
        <v>0</v>
      </c>
      <c r="J109" s="231"/>
    </row>
    <row r="110" spans="1:10" ht="30" outlineLevel="4" x14ac:dyDescent="0.25">
      <c r="A110" s="204" t="s">
        <v>203</v>
      </c>
      <c r="B110" s="201" t="s">
        <v>204</v>
      </c>
      <c r="C110" s="201" t="s">
        <v>279</v>
      </c>
      <c r="D110" s="201" t="s">
        <v>30</v>
      </c>
      <c r="E110" s="202">
        <v>154462</v>
      </c>
      <c r="F110" s="202">
        <v>154462</v>
      </c>
      <c r="G110" s="202">
        <v>0</v>
      </c>
      <c r="H110" s="202">
        <v>0</v>
      </c>
      <c r="I110" s="203">
        <v>0</v>
      </c>
      <c r="J110" s="231"/>
    </row>
    <row r="111" spans="1:10" ht="75" outlineLevel="3" x14ac:dyDescent="0.25">
      <c r="A111" s="204" t="s">
        <v>280</v>
      </c>
      <c r="B111" s="201"/>
      <c r="C111" s="201" t="s">
        <v>281</v>
      </c>
      <c r="D111" s="201" t="s">
        <v>30</v>
      </c>
      <c r="E111" s="202">
        <v>37545.08</v>
      </c>
      <c r="F111" s="202">
        <v>37545.08</v>
      </c>
      <c r="G111" s="202">
        <v>16400</v>
      </c>
      <c r="H111" s="202">
        <v>16400</v>
      </c>
      <c r="I111" s="203">
        <v>0.43680823159785515</v>
      </c>
      <c r="J111" s="231"/>
    </row>
    <row r="112" spans="1:10" ht="30" outlineLevel="4" x14ac:dyDescent="0.25">
      <c r="A112" s="204" t="s">
        <v>203</v>
      </c>
      <c r="B112" s="201" t="s">
        <v>204</v>
      </c>
      <c r="C112" s="201" t="s">
        <v>281</v>
      </c>
      <c r="D112" s="201" t="s">
        <v>30</v>
      </c>
      <c r="E112" s="202">
        <v>37545.08</v>
      </c>
      <c r="F112" s="202">
        <v>37545.08</v>
      </c>
      <c r="G112" s="202">
        <v>16400</v>
      </c>
      <c r="H112" s="202">
        <v>16400</v>
      </c>
      <c r="I112" s="203">
        <v>0.43680823159785515</v>
      </c>
      <c r="J112" s="231"/>
    </row>
    <row r="113" spans="1:12" ht="75" outlineLevel="3" x14ac:dyDescent="0.25">
      <c r="A113" s="204" t="s">
        <v>205</v>
      </c>
      <c r="B113" s="201"/>
      <c r="C113" s="201" t="s">
        <v>282</v>
      </c>
      <c r="D113" s="201" t="s">
        <v>30</v>
      </c>
      <c r="E113" s="202">
        <v>390000</v>
      </c>
      <c r="F113" s="202">
        <v>390000</v>
      </c>
      <c r="G113" s="202">
        <v>211154.14</v>
      </c>
      <c r="H113" s="202">
        <v>211154.14</v>
      </c>
      <c r="I113" s="203">
        <v>0.54142087179487175</v>
      </c>
      <c r="J113" s="231"/>
    </row>
    <row r="114" spans="1:12" ht="30" outlineLevel="4" x14ac:dyDescent="0.25">
      <c r="A114" s="204" t="s">
        <v>203</v>
      </c>
      <c r="B114" s="201" t="s">
        <v>204</v>
      </c>
      <c r="C114" s="201" t="s">
        <v>282</v>
      </c>
      <c r="D114" s="201" t="s">
        <v>30</v>
      </c>
      <c r="E114" s="202">
        <v>390000</v>
      </c>
      <c r="F114" s="202">
        <v>390000</v>
      </c>
      <c r="G114" s="202">
        <v>211154.14</v>
      </c>
      <c r="H114" s="202">
        <v>211154.14</v>
      </c>
      <c r="I114" s="203">
        <v>0.54142087179487175</v>
      </c>
      <c r="J114" s="231"/>
    </row>
    <row r="115" spans="1:12" ht="30" outlineLevel="2" x14ac:dyDescent="0.25">
      <c r="A115" s="204" t="s">
        <v>283</v>
      </c>
      <c r="B115" s="201"/>
      <c r="C115" s="201"/>
      <c r="D115" s="201"/>
      <c r="E115" s="202">
        <v>45790665.939999998</v>
      </c>
      <c r="F115" s="202">
        <v>45790665.939999998</v>
      </c>
      <c r="G115" s="202">
        <v>29499065.800000001</v>
      </c>
      <c r="H115" s="202">
        <v>29499065.800000001</v>
      </c>
      <c r="I115" s="203">
        <v>0.64421569755401553</v>
      </c>
      <c r="J115" s="231"/>
    </row>
    <row r="116" spans="1:12" ht="105" outlineLevel="3" x14ac:dyDescent="0.25">
      <c r="A116" s="204" t="s">
        <v>284</v>
      </c>
      <c r="B116" s="201"/>
      <c r="C116" s="201" t="s">
        <v>285</v>
      </c>
      <c r="D116" s="201" t="s">
        <v>32</v>
      </c>
      <c r="E116" s="202">
        <v>1635100</v>
      </c>
      <c r="F116" s="202">
        <v>1635100</v>
      </c>
      <c r="G116" s="202">
        <v>806015.33</v>
      </c>
      <c r="H116" s="202">
        <v>806015.33</v>
      </c>
      <c r="I116" s="203">
        <v>0.49294558742584549</v>
      </c>
      <c r="J116" s="231"/>
      <c r="L116" s="233">
        <f>H116+H118+H122+H124+H126+H128</f>
        <v>29499065.800000001</v>
      </c>
    </row>
    <row r="117" spans="1:12" ht="30" outlineLevel="4" x14ac:dyDescent="0.25">
      <c r="A117" s="204" t="s">
        <v>203</v>
      </c>
      <c r="B117" s="201" t="s">
        <v>204</v>
      </c>
      <c r="C117" s="201" t="s">
        <v>285</v>
      </c>
      <c r="D117" s="201" t="s">
        <v>32</v>
      </c>
      <c r="E117" s="202">
        <v>1635100</v>
      </c>
      <c r="F117" s="202">
        <v>1635100</v>
      </c>
      <c r="G117" s="202">
        <v>806015.33</v>
      </c>
      <c r="H117" s="202">
        <v>806015.33</v>
      </c>
      <c r="I117" s="203">
        <v>0.49294558742584549</v>
      </c>
      <c r="J117" s="231"/>
    </row>
    <row r="118" spans="1:12" ht="120" outlineLevel="3" x14ac:dyDescent="0.25">
      <c r="A118" s="204" t="s">
        <v>286</v>
      </c>
      <c r="B118" s="201"/>
      <c r="C118" s="201" t="s">
        <v>287</v>
      </c>
      <c r="D118" s="201" t="s">
        <v>32</v>
      </c>
      <c r="E118" s="202">
        <v>22000</v>
      </c>
      <c r="F118" s="202">
        <v>22000</v>
      </c>
      <c r="G118" s="202">
        <v>16500</v>
      </c>
      <c r="H118" s="202">
        <v>16500</v>
      </c>
      <c r="I118" s="203">
        <v>0.75</v>
      </c>
      <c r="J118" s="231"/>
    </row>
    <row r="119" spans="1:12" ht="30" outlineLevel="4" x14ac:dyDescent="0.25">
      <c r="A119" s="204" t="s">
        <v>203</v>
      </c>
      <c r="B119" s="201" t="s">
        <v>204</v>
      </c>
      <c r="C119" s="201" t="s">
        <v>287</v>
      </c>
      <c r="D119" s="201" t="s">
        <v>32</v>
      </c>
      <c r="E119" s="202">
        <v>22000</v>
      </c>
      <c r="F119" s="202">
        <v>22000</v>
      </c>
      <c r="G119" s="202">
        <v>16500</v>
      </c>
      <c r="H119" s="202">
        <v>16500</v>
      </c>
      <c r="I119" s="203">
        <v>0.75</v>
      </c>
      <c r="J119" s="231"/>
    </row>
    <row r="120" spans="1:12" ht="180" outlineLevel="3" x14ac:dyDescent="0.25">
      <c r="A120" s="204" t="s">
        <v>288</v>
      </c>
      <c r="B120" s="201"/>
      <c r="C120" s="201" t="s">
        <v>289</v>
      </c>
      <c r="D120" s="201" t="s">
        <v>32</v>
      </c>
      <c r="E120" s="202">
        <v>85565.94</v>
      </c>
      <c r="F120" s="202">
        <v>85565.94</v>
      </c>
      <c r="G120" s="202">
        <v>0</v>
      </c>
      <c r="H120" s="202">
        <v>0</v>
      </c>
      <c r="I120" s="203">
        <v>0</v>
      </c>
      <c r="J120" s="231"/>
    </row>
    <row r="121" spans="1:12" ht="30" outlineLevel="4" x14ac:dyDescent="0.25">
      <c r="A121" s="204" t="s">
        <v>203</v>
      </c>
      <c r="B121" s="201" t="s">
        <v>204</v>
      </c>
      <c r="C121" s="201" t="s">
        <v>289</v>
      </c>
      <c r="D121" s="201" t="s">
        <v>32</v>
      </c>
      <c r="E121" s="202">
        <v>85565.94</v>
      </c>
      <c r="F121" s="202">
        <v>85565.94</v>
      </c>
      <c r="G121" s="202">
        <v>0</v>
      </c>
      <c r="H121" s="202">
        <v>0</v>
      </c>
      <c r="I121" s="203">
        <v>0</v>
      </c>
      <c r="J121" s="231"/>
    </row>
    <row r="122" spans="1:12" ht="180" outlineLevel="3" x14ac:dyDescent="0.25">
      <c r="A122" s="204" t="s">
        <v>290</v>
      </c>
      <c r="B122" s="201"/>
      <c r="C122" s="201" t="s">
        <v>291</v>
      </c>
      <c r="D122" s="201" t="s">
        <v>32</v>
      </c>
      <c r="E122" s="202">
        <v>305000</v>
      </c>
      <c r="F122" s="202">
        <v>305000</v>
      </c>
      <c r="G122" s="202">
        <v>295000</v>
      </c>
      <c r="H122" s="202">
        <v>295000</v>
      </c>
      <c r="I122" s="203">
        <v>0.96721311475409832</v>
      </c>
      <c r="J122" s="231"/>
    </row>
    <row r="123" spans="1:12" ht="30" outlineLevel="4" x14ac:dyDescent="0.25">
      <c r="A123" s="204" t="s">
        <v>203</v>
      </c>
      <c r="B123" s="201" t="s">
        <v>204</v>
      </c>
      <c r="C123" s="201" t="s">
        <v>291</v>
      </c>
      <c r="D123" s="201" t="s">
        <v>32</v>
      </c>
      <c r="E123" s="202">
        <v>305000</v>
      </c>
      <c r="F123" s="202">
        <v>305000</v>
      </c>
      <c r="G123" s="202">
        <v>295000</v>
      </c>
      <c r="H123" s="202">
        <v>295000</v>
      </c>
      <c r="I123" s="203">
        <v>0.96721311475409832</v>
      </c>
      <c r="J123" s="231"/>
    </row>
    <row r="124" spans="1:12" ht="60" outlineLevel="3" x14ac:dyDescent="0.25">
      <c r="A124" s="204" t="s">
        <v>292</v>
      </c>
      <c r="B124" s="201"/>
      <c r="C124" s="201" t="s">
        <v>293</v>
      </c>
      <c r="D124" s="201" t="s">
        <v>32</v>
      </c>
      <c r="E124" s="202">
        <v>35532300</v>
      </c>
      <c r="F124" s="202">
        <v>35532300</v>
      </c>
      <c r="G124" s="202">
        <v>23248738.199999999</v>
      </c>
      <c r="H124" s="202">
        <v>23248738.199999999</v>
      </c>
      <c r="I124" s="203">
        <v>0.65429871412770912</v>
      </c>
      <c r="J124" s="231"/>
    </row>
    <row r="125" spans="1:12" ht="30" outlineLevel="4" x14ac:dyDescent="0.25">
      <c r="A125" s="204" t="s">
        <v>203</v>
      </c>
      <c r="B125" s="201" t="s">
        <v>204</v>
      </c>
      <c r="C125" s="201" t="s">
        <v>293</v>
      </c>
      <c r="D125" s="201" t="s">
        <v>32</v>
      </c>
      <c r="E125" s="202">
        <v>35532300</v>
      </c>
      <c r="F125" s="202">
        <v>35532300</v>
      </c>
      <c r="G125" s="202">
        <v>23248738.199999999</v>
      </c>
      <c r="H125" s="202">
        <v>23248738.199999999</v>
      </c>
      <c r="I125" s="203">
        <v>0.65429871412770912</v>
      </c>
      <c r="J125" s="231"/>
    </row>
    <row r="126" spans="1:12" ht="120" outlineLevel="3" x14ac:dyDescent="0.25">
      <c r="A126" s="204" t="s">
        <v>294</v>
      </c>
      <c r="B126" s="201"/>
      <c r="C126" s="201" t="s">
        <v>295</v>
      </c>
      <c r="D126" s="201" t="s">
        <v>32</v>
      </c>
      <c r="E126" s="202">
        <v>692700</v>
      </c>
      <c r="F126" s="202">
        <v>692700</v>
      </c>
      <c r="G126" s="202">
        <v>301226.83</v>
      </c>
      <c r="H126" s="202">
        <v>301226.83</v>
      </c>
      <c r="I126" s="203">
        <v>0.43485900101053848</v>
      </c>
      <c r="J126" s="231"/>
    </row>
    <row r="127" spans="1:12" ht="30" outlineLevel="4" x14ac:dyDescent="0.25">
      <c r="A127" s="204" t="s">
        <v>203</v>
      </c>
      <c r="B127" s="201" t="s">
        <v>204</v>
      </c>
      <c r="C127" s="201" t="s">
        <v>295</v>
      </c>
      <c r="D127" s="201" t="s">
        <v>32</v>
      </c>
      <c r="E127" s="202">
        <v>692700</v>
      </c>
      <c r="F127" s="202">
        <v>692700</v>
      </c>
      <c r="G127" s="202">
        <v>301226.83</v>
      </c>
      <c r="H127" s="202">
        <v>301226.83</v>
      </c>
      <c r="I127" s="203">
        <v>0.43485900101053848</v>
      </c>
      <c r="J127" s="231"/>
    </row>
    <row r="128" spans="1:12" ht="120" outlineLevel="3" x14ac:dyDescent="0.25">
      <c r="A128" s="204" t="s">
        <v>296</v>
      </c>
      <c r="B128" s="201"/>
      <c r="C128" s="201" t="s">
        <v>297</v>
      </c>
      <c r="D128" s="201" t="s">
        <v>32</v>
      </c>
      <c r="E128" s="202">
        <v>7518000</v>
      </c>
      <c r="F128" s="202">
        <v>7518000</v>
      </c>
      <c r="G128" s="202">
        <v>4831585.4400000004</v>
      </c>
      <c r="H128" s="202">
        <v>4831585.4400000004</v>
      </c>
      <c r="I128" s="203">
        <v>0.64266898643256187</v>
      </c>
      <c r="J128" s="231"/>
    </row>
    <row r="129" spans="1:13" ht="30" outlineLevel="4" x14ac:dyDescent="0.25">
      <c r="A129" s="204" t="s">
        <v>203</v>
      </c>
      <c r="B129" s="201" t="s">
        <v>204</v>
      </c>
      <c r="C129" s="201" t="s">
        <v>297</v>
      </c>
      <c r="D129" s="201" t="s">
        <v>32</v>
      </c>
      <c r="E129" s="202">
        <v>7518000</v>
      </c>
      <c r="F129" s="202">
        <v>7518000</v>
      </c>
      <c r="G129" s="202">
        <v>4831585.4400000004</v>
      </c>
      <c r="H129" s="202">
        <v>4831585.4400000004</v>
      </c>
      <c r="I129" s="203">
        <v>0.64266898643256187</v>
      </c>
      <c r="J129" s="231"/>
    </row>
    <row r="130" spans="1:13" ht="30" outlineLevel="1" x14ac:dyDescent="0.25">
      <c r="A130" s="200" t="s">
        <v>298</v>
      </c>
      <c r="B130" s="201"/>
      <c r="C130" s="201"/>
      <c r="D130" s="201"/>
      <c r="E130" s="202">
        <v>166832390.25</v>
      </c>
      <c r="F130" s="202">
        <v>166832390.25</v>
      </c>
      <c r="G130" s="202">
        <v>122142406.23999999</v>
      </c>
      <c r="H130" s="202">
        <v>122142406.23999999</v>
      </c>
      <c r="I130" s="203">
        <v>0.73212645372381457</v>
      </c>
      <c r="J130" s="231"/>
    </row>
    <row r="131" spans="1:13" ht="60" outlineLevel="2" x14ac:dyDescent="0.25">
      <c r="A131" s="204" t="s">
        <v>299</v>
      </c>
      <c r="B131" s="201"/>
      <c r="C131" s="201"/>
      <c r="D131" s="201"/>
      <c r="E131" s="202">
        <v>21540508.59</v>
      </c>
      <c r="F131" s="202">
        <v>21540508.59</v>
      </c>
      <c r="G131" s="202">
        <v>15290464.57</v>
      </c>
      <c r="H131" s="202">
        <v>15290464.57</v>
      </c>
      <c r="I131" s="203">
        <v>0.70984696141754378</v>
      </c>
      <c r="J131" s="231"/>
    </row>
    <row r="132" spans="1:13" ht="60" outlineLevel="3" x14ac:dyDescent="0.25">
      <c r="A132" s="204" t="s">
        <v>201</v>
      </c>
      <c r="B132" s="201"/>
      <c r="C132" s="201" t="s">
        <v>300</v>
      </c>
      <c r="D132" s="201" t="s">
        <v>30</v>
      </c>
      <c r="E132" s="202">
        <v>21051928.300000001</v>
      </c>
      <c r="F132" s="202">
        <v>21051928.300000001</v>
      </c>
      <c r="G132" s="202">
        <v>14878153.49</v>
      </c>
      <c r="H132" s="202">
        <v>14878153.49</v>
      </c>
      <c r="I132" s="203">
        <v>0.70673589981778528</v>
      </c>
      <c r="J132" s="231"/>
      <c r="L132" s="233"/>
      <c r="M132" s="233"/>
    </row>
    <row r="133" spans="1:13" ht="30" outlineLevel="4" x14ac:dyDescent="0.25">
      <c r="A133" s="204" t="s">
        <v>203</v>
      </c>
      <c r="B133" s="201" t="s">
        <v>204</v>
      </c>
      <c r="C133" s="201" t="s">
        <v>300</v>
      </c>
      <c r="D133" s="201" t="s">
        <v>30</v>
      </c>
      <c r="E133" s="202">
        <v>21051928.300000001</v>
      </c>
      <c r="F133" s="202">
        <v>21051928.300000001</v>
      </c>
      <c r="G133" s="202">
        <v>14878153.49</v>
      </c>
      <c r="H133" s="202">
        <v>14878153.49</v>
      </c>
      <c r="I133" s="203">
        <v>0.70673589981778528</v>
      </c>
      <c r="J133" s="231"/>
      <c r="L133" s="233">
        <f>H138+H156+H158+H160+H162+H166+H182</f>
        <v>22198718.010000002</v>
      </c>
      <c r="M133" s="233"/>
    </row>
    <row r="134" spans="1:13" ht="75" outlineLevel="3" x14ac:dyDescent="0.25">
      <c r="A134" s="204" t="s">
        <v>205</v>
      </c>
      <c r="B134" s="201"/>
      <c r="C134" s="201" t="s">
        <v>301</v>
      </c>
      <c r="D134" s="201" t="s">
        <v>30</v>
      </c>
      <c r="E134" s="202">
        <v>365869</v>
      </c>
      <c r="F134" s="202">
        <v>365869</v>
      </c>
      <c r="G134" s="202">
        <v>364589.34</v>
      </c>
      <c r="H134" s="202">
        <v>364589.34</v>
      </c>
      <c r="I134" s="203">
        <v>0.99650240933230205</v>
      </c>
      <c r="J134" s="231"/>
      <c r="L134" s="233">
        <f>H165</f>
        <v>14736058.640000001</v>
      </c>
      <c r="M134" s="233"/>
    </row>
    <row r="135" spans="1:13" ht="30" outlineLevel="4" x14ac:dyDescent="0.25">
      <c r="A135" s="204" t="s">
        <v>203</v>
      </c>
      <c r="B135" s="201" t="s">
        <v>204</v>
      </c>
      <c r="C135" s="201" t="s">
        <v>301</v>
      </c>
      <c r="D135" s="201" t="s">
        <v>30</v>
      </c>
      <c r="E135" s="202">
        <v>365869</v>
      </c>
      <c r="F135" s="202">
        <v>365869</v>
      </c>
      <c r="G135" s="202">
        <v>364589.34</v>
      </c>
      <c r="H135" s="202">
        <v>364589.34</v>
      </c>
      <c r="I135" s="203">
        <v>0.99650240933230205</v>
      </c>
      <c r="J135" s="231"/>
    </row>
    <row r="136" spans="1:13" ht="75" outlineLevel="3" x14ac:dyDescent="0.25">
      <c r="A136" s="204" t="s">
        <v>207</v>
      </c>
      <c r="B136" s="201"/>
      <c r="C136" s="201" t="s">
        <v>302</v>
      </c>
      <c r="D136" s="201" t="s">
        <v>30</v>
      </c>
      <c r="E136" s="202">
        <v>75000</v>
      </c>
      <c r="F136" s="202">
        <v>75000</v>
      </c>
      <c r="G136" s="202">
        <v>12500</v>
      </c>
      <c r="H136" s="202">
        <v>12500</v>
      </c>
      <c r="I136" s="203">
        <v>0.16666666666666666</v>
      </c>
      <c r="J136" s="231"/>
    </row>
    <row r="137" spans="1:13" ht="30" outlineLevel="4" x14ac:dyDescent="0.25">
      <c r="A137" s="204" t="s">
        <v>203</v>
      </c>
      <c r="B137" s="201" t="s">
        <v>204</v>
      </c>
      <c r="C137" s="201" t="s">
        <v>302</v>
      </c>
      <c r="D137" s="201" t="s">
        <v>30</v>
      </c>
      <c r="E137" s="202">
        <v>75000</v>
      </c>
      <c r="F137" s="202">
        <v>75000</v>
      </c>
      <c r="G137" s="202">
        <v>12500</v>
      </c>
      <c r="H137" s="202">
        <v>12500</v>
      </c>
      <c r="I137" s="203">
        <v>0.16666666666666666</v>
      </c>
      <c r="J137" s="231"/>
    </row>
    <row r="138" spans="1:13" ht="75" outlineLevel="3" x14ac:dyDescent="0.25">
      <c r="A138" s="204" t="s">
        <v>209</v>
      </c>
      <c r="B138" s="201"/>
      <c r="C138" s="201" t="s">
        <v>303</v>
      </c>
      <c r="D138" s="201" t="s">
        <v>32</v>
      </c>
      <c r="E138" s="202">
        <v>30933.72</v>
      </c>
      <c r="F138" s="202">
        <v>30933.72</v>
      </c>
      <c r="G138" s="202">
        <v>23201.24</v>
      </c>
      <c r="H138" s="202">
        <v>23201.24</v>
      </c>
      <c r="I138" s="203">
        <v>0.75003071082301132</v>
      </c>
      <c r="J138" s="231"/>
    </row>
    <row r="139" spans="1:13" ht="30" outlineLevel="4" x14ac:dyDescent="0.25">
      <c r="A139" s="204" t="s">
        <v>203</v>
      </c>
      <c r="B139" s="201" t="s">
        <v>204</v>
      </c>
      <c r="C139" s="201" t="s">
        <v>303</v>
      </c>
      <c r="D139" s="201" t="s">
        <v>32</v>
      </c>
      <c r="E139" s="202">
        <v>30933.72</v>
      </c>
      <c r="F139" s="202">
        <v>30933.72</v>
      </c>
      <c r="G139" s="202">
        <v>23201.24</v>
      </c>
      <c r="H139" s="202">
        <v>23201.24</v>
      </c>
      <c r="I139" s="203">
        <v>0.75003071082301132</v>
      </c>
      <c r="J139" s="231"/>
    </row>
    <row r="140" spans="1:13" ht="105" outlineLevel="3" x14ac:dyDescent="0.25">
      <c r="A140" s="204" t="s">
        <v>217</v>
      </c>
      <c r="B140" s="201"/>
      <c r="C140" s="201" t="s">
        <v>304</v>
      </c>
      <c r="D140" s="201" t="s">
        <v>30</v>
      </c>
      <c r="E140" s="202">
        <v>2508.14</v>
      </c>
      <c r="F140" s="202">
        <v>2508.14</v>
      </c>
      <c r="G140" s="202">
        <v>2508.14</v>
      </c>
      <c r="H140" s="202">
        <v>2508.14</v>
      </c>
      <c r="I140" s="203">
        <v>1</v>
      </c>
      <c r="J140" s="231"/>
    </row>
    <row r="141" spans="1:13" ht="30" outlineLevel="4" x14ac:dyDescent="0.25">
      <c r="A141" s="204" t="s">
        <v>203</v>
      </c>
      <c r="B141" s="201" t="s">
        <v>204</v>
      </c>
      <c r="C141" s="201" t="s">
        <v>304</v>
      </c>
      <c r="D141" s="201" t="s">
        <v>30</v>
      </c>
      <c r="E141" s="202">
        <v>2508.14</v>
      </c>
      <c r="F141" s="202">
        <v>2508.14</v>
      </c>
      <c r="G141" s="202">
        <v>2508.14</v>
      </c>
      <c r="H141" s="202">
        <v>2508.14</v>
      </c>
      <c r="I141" s="203">
        <v>1</v>
      </c>
      <c r="J141" s="231"/>
    </row>
    <row r="142" spans="1:13" ht="150" outlineLevel="3" x14ac:dyDescent="0.25">
      <c r="A142" s="204" t="s">
        <v>219</v>
      </c>
      <c r="B142" s="201"/>
      <c r="C142" s="201" t="s">
        <v>305</v>
      </c>
      <c r="D142" s="201" t="s">
        <v>30</v>
      </c>
      <c r="E142" s="202">
        <v>14269.43</v>
      </c>
      <c r="F142" s="202">
        <v>14269.43</v>
      </c>
      <c r="G142" s="202">
        <v>9512.36</v>
      </c>
      <c r="H142" s="202">
        <v>9512.36</v>
      </c>
      <c r="I142" s="203">
        <v>0.66662508593545777</v>
      </c>
      <c r="J142" s="231"/>
    </row>
    <row r="143" spans="1:13" ht="30" outlineLevel="4" x14ac:dyDescent="0.25">
      <c r="A143" s="204" t="s">
        <v>203</v>
      </c>
      <c r="B143" s="201" t="s">
        <v>204</v>
      </c>
      <c r="C143" s="201" t="s">
        <v>305</v>
      </c>
      <c r="D143" s="201" t="s">
        <v>30</v>
      </c>
      <c r="E143" s="202">
        <v>14269.43</v>
      </c>
      <c r="F143" s="202">
        <v>14269.43</v>
      </c>
      <c r="G143" s="202">
        <v>9512.36</v>
      </c>
      <c r="H143" s="202">
        <v>9512.36</v>
      </c>
      <c r="I143" s="203">
        <v>0.66662508593545777</v>
      </c>
      <c r="J143" s="231"/>
    </row>
    <row r="144" spans="1:13" ht="75" outlineLevel="2" x14ac:dyDescent="0.25">
      <c r="A144" s="204" t="s">
        <v>306</v>
      </c>
      <c r="B144" s="201"/>
      <c r="C144" s="201"/>
      <c r="D144" s="201"/>
      <c r="E144" s="202">
        <v>50084449.350000001</v>
      </c>
      <c r="F144" s="202">
        <v>50084449.350000001</v>
      </c>
      <c r="G144" s="202">
        <v>39709705.490000002</v>
      </c>
      <c r="H144" s="202">
        <v>39709705.490000002</v>
      </c>
      <c r="I144" s="203">
        <v>0.79285498803232823</v>
      </c>
      <c r="J144" s="231"/>
    </row>
    <row r="145" spans="1:10" ht="60" outlineLevel="3" x14ac:dyDescent="0.25">
      <c r="A145" s="204" t="s">
        <v>201</v>
      </c>
      <c r="B145" s="201"/>
      <c r="C145" s="201" t="s">
        <v>307</v>
      </c>
      <c r="D145" s="201" t="s">
        <v>30</v>
      </c>
      <c r="E145" s="202">
        <v>49428904.5</v>
      </c>
      <c r="F145" s="202">
        <v>49428904.5</v>
      </c>
      <c r="G145" s="202">
        <v>39089785.640000001</v>
      </c>
      <c r="H145" s="202">
        <v>39089785.640000001</v>
      </c>
      <c r="I145" s="203">
        <v>0.79082848457626653</v>
      </c>
      <c r="J145" s="231"/>
    </row>
    <row r="146" spans="1:10" ht="75" outlineLevel="4" x14ac:dyDescent="0.25">
      <c r="A146" s="204" t="s">
        <v>308</v>
      </c>
      <c r="B146" s="201" t="s">
        <v>309</v>
      </c>
      <c r="C146" s="201" t="s">
        <v>307</v>
      </c>
      <c r="D146" s="201" t="s">
        <v>30</v>
      </c>
      <c r="E146" s="202">
        <v>49428904.5</v>
      </c>
      <c r="F146" s="202">
        <v>49428904.5</v>
      </c>
      <c r="G146" s="202">
        <v>39089785.640000001</v>
      </c>
      <c r="H146" s="202">
        <v>39089785.640000001</v>
      </c>
      <c r="I146" s="203">
        <v>0.79082848457626653</v>
      </c>
      <c r="J146" s="231"/>
    </row>
    <row r="147" spans="1:10" ht="75" outlineLevel="3" x14ac:dyDescent="0.25">
      <c r="A147" s="204" t="s">
        <v>205</v>
      </c>
      <c r="B147" s="201"/>
      <c r="C147" s="201" t="s">
        <v>310</v>
      </c>
      <c r="D147" s="201" t="s">
        <v>30</v>
      </c>
      <c r="E147" s="202">
        <v>513044.85</v>
      </c>
      <c r="F147" s="202">
        <v>513044.85</v>
      </c>
      <c r="G147" s="202">
        <v>513044.85</v>
      </c>
      <c r="H147" s="202">
        <v>513044.85</v>
      </c>
      <c r="I147" s="203">
        <v>1</v>
      </c>
      <c r="J147" s="231"/>
    </row>
    <row r="148" spans="1:10" ht="75" outlineLevel="4" x14ac:dyDescent="0.25">
      <c r="A148" s="204" t="s">
        <v>308</v>
      </c>
      <c r="B148" s="201" t="s">
        <v>309</v>
      </c>
      <c r="C148" s="201" t="s">
        <v>310</v>
      </c>
      <c r="D148" s="201" t="s">
        <v>30</v>
      </c>
      <c r="E148" s="202">
        <v>513044.85</v>
      </c>
      <c r="F148" s="202">
        <v>513044.85</v>
      </c>
      <c r="G148" s="202">
        <v>513044.85</v>
      </c>
      <c r="H148" s="202">
        <v>513044.85</v>
      </c>
      <c r="I148" s="203">
        <v>1</v>
      </c>
      <c r="J148" s="231"/>
    </row>
    <row r="149" spans="1:10" ht="30" outlineLevel="3" x14ac:dyDescent="0.25">
      <c r="A149" s="204" t="s">
        <v>224</v>
      </c>
      <c r="B149" s="201"/>
      <c r="C149" s="201" t="s">
        <v>311</v>
      </c>
      <c r="D149" s="201" t="s">
        <v>30</v>
      </c>
      <c r="E149" s="202">
        <v>142500</v>
      </c>
      <c r="F149" s="202">
        <v>142500</v>
      </c>
      <c r="G149" s="202">
        <v>106875</v>
      </c>
      <c r="H149" s="202">
        <v>106875</v>
      </c>
      <c r="I149" s="203">
        <v>0.75</v>
      </c>
      <c r="J149" s="231"/>
    </row>
    <row r="150" spans="1:10" ht="75" outlineLevel="4" x14ac:dyDescent="0.25">
      <c r="A150" s="204" t="s">
        <v>308</v>
      </c>
      <c r="B150" s="201" t="s">
        <v>309</v>
      </c>
      <c r="C150" s="201" t="s">
        <v>311</v>
      </c>
      <c r="D150" s="201" t="s">
        <v>30</v>
      </c>
      <c r="E150" s="202">
        <v>142500</v>
      </c>
      <c r="F150" s="202">
        <v>142500</v>
      </c>
      <c r="G150" s="202">
        <v>106875</v>
      </c>
      <c r="H150" s="202">
        <v>106875</v>
      </c>
      <c r="I150" s="203">
        <v>0.75</v>
      </c>
      <c r="J150" s="231"/>
    </row>
    <row r="151" spans="1:10" ht="45" outlineLevel="2" x14ac:dyDescent="0.25">
      <c r="A151" s="204" t="s">
        <v>312</v>
      </c>
      <c r="B151" s="201"/>
      <c r="C151" s="201"/>
      <c r="D151" s="201"/>
      <c r="E151" s="202">
        <v>84866318.189999998</v>
      </c>
      <c r="F151" s="202">
        <v>84866318.189999998</v>
      </c>
      <c r="G151" s="202">
        <v>58241122.060000002</v>
      </c>
      <c r="H151" s="202">
        <v>58241122.060000002</v>
      </c>
      <c r="I151" s="203">
        <v>0.68626898517747514</v>
      </c>
      <c r="J151" s="231"/>
    </row>
    <row r="152" spans="1:10" ht="60" outlineLevel="3" x14ac:dyDescent="0.25">
      <c r="A152" s="204" t="s">
        <v>201</v>
      </c>
      <c r="B152" s="201"/>
      <c r="C152" s="201" t="s">
        <v>313</v>
      </c>
      <c r="D152" s="201" t="s">
        <v>30</v>
      </c>
      <c r="E152" s="202">
        <v>18896485.079999998</v>
      </c>
      <c r="F152" s="202">
        <v>18896485.079999998</v>
      </c>
      <c r="G152" s="202">
        <v>18896485.079999998</v>
      </c>
      <c r="H152" s="202">
        <v>18896485.079999998</v>
      </c>
      <c r="I152" s="203">
        <v>1</v>
      </c>
      <c r="J152" s="231"/>
    </row>
    <row r="153" spans="1:10" ht="30" outlineLevel="4" x14ac:dyDescent="0.25">
      <c r="A153" s="204" t="s">
        <v>203</v>
      </c>
      <c r="B153" s="201" t="s">
        <v>204</v>
      </c>
      <c r="C153" s="201" t="s">
        <v>313</v>
      </c>
      <c r="D153" s="201" t="s">
        <v>30</v>
      </c>
      <c r="E153" s="202">
        <v>18896485.079999998</v>
      </c>
      <c r="F153" s="202">
        <v>18896485.079999998</v>
      </c>
      <c r="G153" s="202">
        <v>18896485.079999998</v>
      </c>
      <c r="H153" s="202">
        <v>18896485.079999998</v>
      </c>
      <c r="I153" s="203">
        <v>1</v>
      </c>
      <c r="J153" s="231"/>
    </row>
    <row r="154" spans="1:10" ht="75" outlineLevel="3" x14ac:dyDescent="0.25">
      <c r="A154" s="204" t="s">
        <v>205</v>
      </c>
      <c r="B154" s="201"/>
      <c r="C154" s="201" t="s">
        <v>314</v>
      </c>
      <c r="D154" s="201" t="s">
        <v>30</v>
      </c>
      <c r="E154" s="202">
        <v>550000</v>
      </c>
      <c r="F154" s="202">
        <v>550000</v>
      </c>
      <c r="G154" s="202">
        <v>550000</v>
      </c>
      <c r="H154" s="202">
        <v>550000</v>
      </c>
      <c r="I154" s="203">
        <v>1</v>
      </c>
      <c r="J154" s="231"/>
    </row>
    <row r="155" spans="1:10" ht="30" outlineLevel="4" x14ac:dyDescent="0.25">
      <c r="A155" s="204" t="s">
        <v>203</v>
      </c>
      <c r="B155" s="201" t="s">
        <v>204</v>
      </c>
      <c r="C155" s="201" t="s">
        <v>314</v>
      </c>
      <c r="D155" s="201" t="s">
        <v>30</v>
      </c>
      <c r="E155" s="202">
        <v>550000</v>
      </c>
      <c r="F155" s="202">
        <v>550000</v>
      </c>
      <c r="G155" s="202">
        <v>550000</v>
      </c>
      <c r="H155" s="202">
        <v>550000</v>
      </c>
      <c r="I155" s="203">
        <v>1</v>
      </c>
      <c r="J155" s="231"/>
    </row>
    <row r="156" spans="1:10" ht="105" outlineLevel="3" x14ac:dyDescent="0.25">
      <c r="A156" s="204" t="s">
        <v>315</v>
      </c>
      <c r="B156" s="201"/>
      <c r="C156" s="201" t="s">
        <v>316</v>
      </c>
      <c r="D156" s="201" t="s">
        <v>32</v>
      </c>
      <c r="E156" s="202">
        <v>1975500</v>
      </c>
      <c r="F156" s="202">
        <v>1975500</v>
      </c>
      <c r="G156" s="202">
        <v>1216853.82</v>
      </c>
      <c r="H156" s="202">
        <v>1216853.82</v>
      </c>
      <c r="I156" s="203">
        <v>0.61597257403189065</v>
      </c>
      <c r="J156" s="231"/>
    </row>
    <row r="157" spans="1:10" ht="30" outlineLevel="4" x14ac:dyDescent="0.25">
      <c r="A157" s="204" t="s">
        <v>203</v>
      </c>
      <c r="B157" s="201" t="s">
        <v>204</v>
      </c>
      <c r="C157" s="201" t="s">
        <v>316</v>
      </c>
      <c r="D157" s="201" t="s">
        <v>32</v>
      </c>
      <c r="E157" s="202">
        <v>1975500</v>
      </c>
      <c r="F157" s="202">
        <v>1975500</v>
      </c>
      <c r="G157" s="202">
        <v>1216853.82</v>
      </c>
      <c r="H157" s="202">
        <v>1216853.82</v>
      </c>
      <c r="I157" s="203">
        <v>0.61597257403189065</v>
      </c>
      <c r="J157" s="231"/>
    </row>
    <row r="158" spans="1:10" ht="75" outlineLevel="3" x14ac:dyDescent="0.25">
      <c r="A158" s="204" t="s">
        <v>209</v>
      </c>
      <c r="B158" s="201"/>
      <c r="C158" s="201" t="s">
        <v>317</v>
      </c>
      <c r="D158" s="201" t="s">
        <v>32</v>
      </c>
      <c r="E158" s="202">
        <v>1122952.23</v>
      </c>
      <c r="F158" s="202">
        <v>1122952.23</v>
      </c>
      <c r="G158" s="202">
        <v>862804</v>
      </c>
      <c r="H158" s="202">
        <v>862804</v>
      </c>
      <c r="I158" s="203">
        <v>0.76833544379710617</v>
      </c>
      <c r="J158" s="231"/>
    </row>
    <row r="159" spans="1:10" ht="30" outlineLevel="4" x14ac:dyDescent="0.25">
      <c r="A159" s="204" t="s">
        <v>203</v>
      </c>
      <c r="B159" s="201" t="s">
        <v>204</v>
      </c>
      <c r="C159" s="201" t="s">
        <v>317</v>
      </c>
      <c r="D159" s="201" t="s">
        <v>32</v>
      </c>
      <c r="E159" s="202">
        <v>1122952.23</v>
      </c>
      <c r="F159" s="202">
        <v>1122952.23</v>
      </c>
      <c r="G159" s="202">
        <v>862804</v>
      </c>
      <c r="H159" s="202">
        <v>862804</v>
      </c>
      <c r="I159" s="203">
        <v>0.76833544379710617</v>
      </c>
      <c r="J159" s="231"/>
    </row>
    <row r="160" spans="1:10" ht="105" outlineLevel="3" x14ac:dyDescent="0.25">
      <c r="A160" s="204" t="s">
        <v>318</v>
      </c>
      <c r="B160" s="201"/>
      <c r="C160" s="201" t="s">
        <v>319</v>
      </c>
      <c r="D160" s="201" t="s">
        <v>32</v>
      </c>
      <c r="E160" s="202">
        <v>4457400</v>
      </c>
      <c r="F160" s="202">
        <v>4457400</v>
      </c>
      <c r="G160" s="202">
        <v>2152540.64</v>
      </c>
      <c r="H160" s="202">
        <v>2152540.64</v>
      </c>
      <c r="I160" s="203">
        <v>0.48291394983622737</v>
      </c>
      <c r="J160" s="231"/>
    </row>
    <row r="161" spans="1:10" ht="30" outlineLevel="4" x14ac:dyDescent="0.25">
      <c r="A161" s="204" t="s">
        <v>203</v>
      </c>
      <c r="B161" s="201" t="s">
        <v>204</v>
      </c>
      <c r="C161" s="201" t="s">
        <v>319</v>
      </c>
      <c r="D161" s="201" t="s">
        <v>32</v>
      </c>
      <c r="E161" s="202">
        <v>4457400</v>
      </c>
      <c r="F161" s="202">
        <v>4457400</v>
      </c>
      <c r="G161" s="202">
        <v>2152540.64</v>
      </c>
      <c r="H161" s="202">
        <v>2152540.64</v>
      </c>
      <c r="I161" s="203">
        <v>0.48291394983622737</v>
      </c>
      <c r="J161" s="231"/>
    </row>
    <row r="162" spans="1:10" ht="45" outlineLevel="3" x14ac:dyDescent="0.25">
      <c r="A162" s="204" t="s">
        <v>320</v>
      </c>
      <c r="B162" s="201"/>
      <c r="C162" s="201" t="s">
        <v>321</v>
      </c>
      <c r="D162" s="201" t="s">
        <v>32</v>
      </c>
      <c r="E162" s="202">
        <v>15165700</v>
      </c>
      <c r="F162" s="202">
        <v>15165700</v>
      </c>
      <c r="G162" s="202">
        <v>8663464.7799999993</v>
      </c>
      <c r="H162" s="202">
        <v>8663464.7799999993</v>
      </c>
      <c r="I162" s="203">
        <v>0.57125386760914432</v>
      </c>
      <c r="J162" s="231"/>
    </row>
    <row r="163" spans="1:10" ht="30" outlineLevel="4" x14ac:dyDescent="0.25">
      <c r="A163" s="204" t="s">
        <v>203</v>
      </c>
      <c r="B163" s="201" t="s">
        <v>204</v>
      </c>
      <c r="C163" s="201" t="s">
        <v>321</v>
      </c>
      <c r="D163" s="201" t="s">
        <v>32</v>
      </c>
      <c r="E163" s="202">
        <v>15165700</v>
      </c>
      <c r="F163" s="202">
        <v>15165700</v>
      </c>
      <c r="G163" s="202">
        <v>8663464.7799999993</v>
      </c>
      <c r="H163" s="202">
        <v>8663464.7799999993</v>
      </c>
      <c r="I163" s="203">
        <v>0.57125386760914432</v>
      </c>
      <c r="J163" s="231"/>
    </row>
    <row r="164" spans="1:10" outlineLevel="3" x14ac:dyDescent="0.25">
      <c r="A164" s="513" t="s">
        <v>322</v>
      </c>
      <c r="B164" s="206">
        <v>918</v>
      </c>
      <c r="C164" s="516" t="s">
        <v>323</v>
      </c>
      <c r="D164" s="206" t="s">
        <v>28</v>
      </c>
      <c r="E164" s="207">
        <v>35829168.359999999</v>
      </c>
      <c r="F164" s="207">
        <v>35829168.359999999</v>
      </c>
      <c r="G164" s="207">
        <v>21178583.84</v>
      </c>
      <c r="H164" s="207">
        <v>21178583.84</v>
      </c>
      <c r="I164" s="208">
        <v>0.59109895120099853</v>
      </c>
      <c r="J164" s="231"/>
    </row>
    <row r="165" spans="1:10" outlineLevel="3" x14ac:dyDescent="0.25">
      <c r="A165" s="514"/>
      <c r="B165" s="206">
        <v>918</v>
      </c>
      <c r="C165" s="517"/>
      <c r="D165" s="206" t="s">
        <v>34</v>
      </c>
      <c r="E165" s="207">
        <v>24929935</v>
      </c>
      <c r="F165" s="207">
        <v>24929935</v>
      </c>
      <c r="G165" s="207">
        <v>14736058.640000001</v>
      </c>
      <c r="H165" s="207">
        <v>14736058.640000001</v>
      </c>
      <c r="I165" s="208"/>
      <c r="J165" s="231"/>
    </row>
    <row r="166" spans="1:10" outlineLevel="3" x14ac:dyDescent="0.25">
      <c r="A166" s="514"/>
      <c r="B166" s="206">
        <v>918</v>
      </c>
      <c r="C166" s="517"/>
      <c r="D166" s="206" t="s">
        <v>32</v>
      </c>
      <c r="E166" s="207">
        <v>10182650</v>
      </c>
      <c r="F166" s="207">
        <v>10182650</v>
      </c>
      <c r="G166" s="207">
        <v>6018953.5300000003</v>
      </c>
      <c r="H166" s="207">
        <v>6018953.5300000003</v>
      </c>
      <c r="I166" s="208"/>
      <c r="J166" s="231"/>
    </row>
    <row r="167" spans="1:10" outlineLevel="3" x14ac:dyDescent="0.25">
      <c r="A167" s="515"/>
      <c r="B167" s="206">
        <v>918</v>
      </c>
      <c r="C167" s="518"/>
      <c r="D167" s="206" t="s">
        <v>30</v>
      </c>
      <c r="E167" s="207">
        <v>716583.36</v>
      </c>
      <c r="F167" s="207">
        <v>716583.36</v>
      </c>
      <c r="G167" s="207">
        <v>423571.67</v>
      </c>
      <c r="H167" s="207">
        <v>423571.67</v>
      </c>
      <c r="I167" s="208"/>
      <c r="J167" s="231"/>
    </row>
    <row r="168" spans="1:10" ht="135" outlineLevel="3" x14ac:dyDescent="0.25">
      <c r="A168" s="204" t="s">
        <v>324</v>
      </c>
      <c r="B168" s="201"/>
      <c r="C168" s="201" t="s">
        <v>325</v>
      </c>
      <c r="D168" s="201" t="s">
        <v>30</v>
      </c>
      <c r="E168" s="202">
        <v>4450063.0999999996</v>
      </c>
      <c r="F168" s="202">
        <v>4450063.0999999996</v>
      </c>
      <c r="G168" s="202">
        <v>3006790.45</v>
      </c>
      <c r="H168" s="202">
        <v>3006790.45</v>
      </c>
      <c r="I168" s="203">
        <v>0.67567366629026004</v>
      </c>
      <c r="J168" s="231"/>
    </row>
    <row r="169" spans="1:10" ht="30" outlineLevel="4" x14ac:dyDescent="0.25">
      <c r="A169" s="204" t="s">
        <v>203</v>
      </c>
      <c r="B169" s="201" t="s">
        <v>204</v>
      </c>
      <c r="C169" s="201" t="s">
        <v>325</v>
      </c>
      <c r="D169" s="201" t="s">
        <v>30</v>
      </c>
      <c r="E169" s="202">
        <v>4450063.0999999996</v>
      </c>
      <c r="F169" s="202">
        <v>4450063.0999999996</v>
      </c>
      <c r="G169" s="202">
        <v>3006790.45</v>
      </c>
      <c r="H169" s="202">
        <v>3006790.45</v>
      </c>
      <c r="I169" s="203">
        <v>0.67567366629026004</v>
      </c>
      <c r="J169" s="231"/>
    </row>
    <row r="170" spans="1:10" ht="105" outlineLevel="3" x14ac:dyDescent="0.25">
      <c r="A170" s="204" t="s">
        <v>217</v>
      </c>
      <c r="B170" s="201"/>
      <c r="C170" s="201" t="s">
        <v>326</v>
      </c>
      <c r="D170" s="201" t="s">
        <v>30</v>
      </c>
      <c r="E170" s="202">
        <v>91050.19</v>
      </c>
      <c r="F170" s="202">
        <v>91050.19</v>
      </c>
      <c r="G170" s="202">
        <v>52190.82</v>
      </c>
      <c r="H170" s="202">
        <v>52190.82</v>
      </c>
      <c r="I170" s="203">
        <v>0.57320934750383279</v>
      </c>
      <c r="J170" s="231"/>
    </row>
    <row r="171" spans="1:10" ht="30" outlineLevel="4" x14ac:dyDescent="0.25">
      <c r="A171" s="204" t="s">
        <v>203</v>
      </c>
      <c r="B171" s="201" t="s">
        <v>204</v>
      </c>
      <c r="C171" s="201" t="s">
        <v>326</v>
      </c>
      <c r="D171" s="201" t="s">
        <v>30</v>
      </c>
      <c r="E171" s="202">
        <v>91050.19</v>
      </c>
      <c r="F171" s="202">
        <v>91050.19</v>
      </c>
      <c r="G171" s="202">
        <v>52190.82</v>
      </c>
      <c r="H171" s="202">
        <v>52190.82</v>
      </c>
      <c r="I171" s="203">
        <v>0.57320934750383279</v>
      </c>
      <c r="J171" s="231"/>
    </row>
    <row r="172" spans="1:10" ht="135" outlineLevel="3" x14ac:dyDescent="0.25">
      <c r="A172" s="204" t="s">
        <v>327</v>
      </c>
      <c r="B172" s="201"/>
      <c r="C172" s="201" t="s">
        <v>328</v>
      </c>
      <c r="D172" s="201" t="s">
        <v>30</v>
      </c>
      <c r="E172" s="202">
        <v>90967.52</v>
      </c>
      <c r="F172" s="202">
        <v>90967.52</v>
      </c>
      <c r="G172" s="202">
        <v>42222.66</v>
      </c>
      <c r="H172" s="202">
        <v>42222.66</v>
      </c>
      <c r="I172" s="203">
        <v>0.46415094090726011</v>
      </c>
      <c r="J172" s="231"/>
    </row>
    <row r="173" spans="1:10" ht="30" outlineLevel="4" x14ac:dyDescent="0.25">
      <c r="A173" s="204" t="s">
        <v>203</v>
      </c>
      <c r="B173" s="201" t="s">
        <v>204</v>
      </c>
      <c r="C173" s="201" t="s">
        <v>328</v>
      </c>
      <c r="D173" s="201" t="s">
        <v>30</v>
      </c>
      <c r="E173" s="202">
        <v>90967.52</v>
      </c>
      <c r="F173" s="202">
        <v>90967.52</v>
      </c>
      <c r="G173" s="202">
        <v>42222.66</v>
      </c>
      <c r="H173" s="202">
        <v>42222.66</v>
      </c>
      <c r="I173" s="203">
        <v>0.46415094090726011</v>
      </c>
      <c r="J173" s="231"/>
    </row>
    <row r="174" spans="1:10" ht="150" outlineLevel="3" x14ac:dyDescent="0.25">
      <c r="A174" s="204" t="s">
        <v>219</v>
      </c>
      <c r="B174" s="201"/>
      <c r="C174" s="201" t="s">
        <v>329</v>
      </c>
      <c r="D174" s="201" t="s">
        <v>30</v>
      </c>
      <c r="E174" s="202">
        <v>2237031.71</v>
      </c>
      <c r="F174" s="202">
        <v>2237031.71</v>
      </c>
      <c r="G174" s="202">
        <v>1619185.97</v>
      </c>
      <c r="H174" s="202">
        <v>1619185.97</v>
      </c>
      <c r="I174" s="203">
        <v>0.72381002145025475</v>
      </c>
      <c r="J174" s="231"/>
    </row>
    <row r="175" spans="1:10" ht="30" outlineLevel="4" x14ac:dyDescent="0.25">
      <c r="A175" s="204" t="s">
        <v>203</v>
      </c>
      <c r="B175" s="201" t="s">
        <v>204</v>
      </c>
      <c r="C175" s="201" t="s">
        <v>329</v>
      </c>
      <c r="D175" s="201" t="s">
        <v>30</v>
      </c>
      <c r="E175" s="202">
        <v>2237031.71</v>
      </c>
      <c r="F175" s="202">
        <v>2237031.71</v>
      </c>
      <c r="G175" s="202">
        <v>1619185.97</v>
      </c>
      <c r="H175" s="202">
        <v>1619185.97</v>
      </c>
      <c r="I175" s="203">
        <v>0.72381002145025475</v>
      </c>
      <c r="J175" s="231"/>
    </row>
    <row r="176" spans="1:10" ht="60" outlineLevel="2" x14ac:dyDescent="0.25">
      <c r="A176" s="204" t="s">
        <v>330</v>
      </c>
      <c r="B176" s="201"/>
      <c r="C176" s="201"/>
      <c r="D176" s="201"/>
      <c r="E176" s="202">
        <v>10341114.119999999</v>
      </c>
      <c r="F176" s="202">
        <v>10341114.119999999</v>
      </c>
      <c r="G176" s="202">
        <v>8901114.1199999992</v>
      </c>
      <c r="H176" s="202">
        <v>8901114.1199999992</v>
      </c>
      <c r="I176" s="203">
        <v>0.86075001365520176</v>
      </c>
      <c r="J176" s="231"/>
    </row>
    <row r="177" spans="1:13" ht="75" outlineLevel="3" x14ac:dyDescent="0.25">
      <c r="A177" s="204" t="s">
        <v>207</v>
      </c>
      <c r="B177" s="201"/>
      <c r="C177" s="201" t="s">
        <v>331</v>
      </c>
      <c r="D177" s="201" t="s">
        <v>30</v>
      </c>
      <c r="E177" s="202">
        <v>5000</v>
      </c>
      <c r="F177" s="202">
        <v>5000</v>
      </c>
      <c r="G177" s="202">
        <v>5000</v>
      </c>
      <c r="H177" s="202">
        <v>5000</v>
      </c>
      <c r="I177" s="203">
        <v>1</v>
      </c>
      <c r="J177" s="231"/>
    </row>
    <row r="178" spans="1:13" ht="30" outlineLevel="4" x14ac:dyDescent="0.25">
      <c r="A178" s="204" t="s">
        <v>203</v>
      </c>
      <c r="B178" s="201" t="s">
        <v>204</v>
      </c>
      <c r="C178" s="201" t="s">
        <v>331</v>
      </c>
      <c r="D178" s="201" t="s">
        <v>30</v>
      </c>
      <c r="E178" s="202">
        <v>5000</v>
      </c>
      <c r="F178" s="202">
        <v>5000</v>
      </c>
      <c r="G178" s="202">
        <v>5000</v>
      </c>
      <c r="H178" s="202">
        <v>5000</v>
      </c>
      <c r="I178" s="203">
        <v>1</v>
      </c>
      <c r="J178" s="231"/>
    </row>
    <row r="179" spans="1:13" ht="30" outlineLevel="3" x14ac:dyDescent="0.25">
      <c r="A179" s="204" t="s">
        <v>224</v>
      </c>
      <c r="B179" s="201"/>
      <c r="C179" s="201" t="s">
        <v>332</v>
      </c>
      <c r="D179" s="201" t="s">
        <v>30</v>
      </c>
      <c r="E179" s="202">
        <v>6810815.1200000001</v>
      </c>
      <c r="F179" s="202">
        <v>6810815.1200000001</v>
      </c>
      <c r="G179" s="202">
        <v>5370815.1200000001</v>
      </c>
      <c r="H179" s="202">
        <v>5370815.1200000001</v>
      </c>
      <c r="I179" s="203">
        <v>0.78857156234186543</v>
      </c>
      <c r="J179" s="231"/>
    </row>
    <row r="180" spans="1:13" ht="30" outlineLevel="4" x14ac:dyDescent="0.25">
      <c r="A180" s="204" t="s">
        <v>203</v>
      </c>
      <c r="B180" s="201" t="s">
        <v>204</v>
      </c>
      <c r="C180" s="201" t="s">
        <v>332</v>
      </c>
      <c r="D180" s="201" t="s">
        <v>30</v>
      </c>
      <c r="E180" s="202">
        <v>6810815.1200000001</v>
      </c>
      <c r="F180" s="202">
        <v>6810815.1200000001</v>
      </c>
      <c r="G180" s="202">
        <v>5370815.1200000001</v>
      </c>
      <c r="H180" s="202">
        <v>5370815.1200000001</v>
      </c>
      <c r="I180" s="203">
        <v>0.78857156234186543</v>
      </c>
      <c r="J180" s="231"/>
    </row>
    <row r="181" spans="1:13" ht="45" outlineLevel="3" x14ac:dyDescent="0.25">
      <c r="A181" s="204" t="s">
        <v>333</v>
      </c>
      <c r="B181" s="201"/>
      <c r="C181" s="201" t="s">
        <v>334</v>
      </c>
      <c r="D181" s="201" t="s">
        <v>32</v>
      </c>
      <c r="E181" s="202">
        <v>3260900</v>
      </c>
      <c r="F181" s="202">
        <v>3260900</v>
      </c>
      <c r="G181" s="202">
        <v>3260900</v>
      </c>
      <c r="H181" s="202">
        <v>3260900</v>
      </c>
      <c r="I181" s="203">
        <v>1</v>
      </c>
      <c r="J181" s="231"/>
    </row>
    <row r="182" spans="1:13" ht="30" outlineLevel="4" x14ac:dyDescent="0.25">
      <c r="A182" s="204" t="s">
        <v>203</v>
      </c>
      <c r="B182" s="201" t="s">
        <v>204</v>
      </c>
      <c r="C182" s="201" t="s">
        <v>334</v>
      </c>
      <c r="D182" s="201" t="s">
        <v>32</v>
      </c>
      <c r="E182" s="202">
        <v>3260900</v>
      </c>
      <c r="F182" s="202">
        <v>3260900</v>
      </c>
      <c r="G182" s="202">
        <v>3260900</v>
      </c>
      <c r="H182" s="202">
        <v>3260900</v>
      </c>
      <c r="I182" s="203">
        <v>1</v>
      </c>
      <c r="J182" s="231"/>
    </row>
    <row r="183" spans="1:13" ht="75" outlineLevel="3" x14ac:dyDescent="0.25">
      <c r="A183" s="204" t="s">
        <v>335</v>
      </c>
      <c r="B183" s="201"/>
      <c r="C183" s="201" t="s">
        <v>336</v>
      </c>
      <c r="D183" s="201" t="s">
        <v>30</v>
      </c>
      <c r="E183" s="202">
        <v>264399</v>
      </c>
      <c r="F183" s="202">
        <v>264399</v>
      </c>
      <c r="G183" s="202">
        <v>264399</v>
      </c>
      <c r="H183" s="202">
        <v>264399</v>
      </c>
      <c r="I183" s="203">
        <v>1</v>
      </c>
      <c r="J183" s="231"/>
    </row>
    <row r="184" spans="1:13" ht="30" outlineLevel="4" x14ac:dyDescent="0.25">
      <c r="A184" s="204" t="s">
        <v>203</v>
      </c>
      <c r="B184" s="201" t="s">
        <v>204</v>
      </c>
      <c r="C184" s="201" t="s">
        <v>336</v>
      </c>
      <c r="D184" s="201" t="s">
        <v>30</v>
      </c>
      <c r="E184" s="202">
        <v>264399</v>
      </c>
      <c r="F184" s="202">
        <v>264399</v>
      </c>
      <c r="G184" s="202">
        <v>264399</v>
      </c>
      <c r="H184" s="202">
        <v>264399</v>
      </c>
      <c r="I184" s="203">
        <v>1</v>
      </c>
      <c r="J184" s="231"/>
    </row>
    <row r="185" spans="1:13" ht="75" x14ac:dyDescent="0.25">
      <c r="A185" s="196" t="s">
        <v>337</v>
      </c>
      <c r="B185" s="197"/>
      <c r="C185" s="197"/>
      <c r="D185" s="197"/>
      <c r="E185" s="198">
        <v>317347921.36000001</v>
      </c>
      <c r="F185" s="198">
        <v>317346252.81999999</v>
      </c>
      <c r="G185" s="198">
        <v>117165500.91</v>
      </c>
      <c r="H185" s="198">
        <v>116967679</v>
      </c>
      <c r="I185" s="199">
        <v>0.369202043006569</v>
      </c>
      <c r="J185" s="231"/>
      <c r="L185" s="233"/>
      <c r="M185" s="233"/>
    </row>
    <row r="186" spans="1:13" ht="75" outlineLevel="2" x14ac:dyDescent="0.25">
      <c r="A186" s="204" t="s">
        <v>338</v>
      </c>
      <c r="B186" s="201"/>
      <c r="C186" s="201"/>
      <c r="D186" s="201"/>
      <c r="E186" s="202">
        <v>18687992.649999999</v>
      </c>
      <c r="F186" s="202">
        <v>18687992.649999999</v>
      </c>
      <c r="G186" s="202">
        <v>14314751.050000001</v>
      </c>
      <c r="H186" s="202">
        <v>14314751.050000001</v>
      </c>
      <c r="I186" s="203">
        <v>0.76598655179800701</v>
      </c>
      <c r="J186" s="231"/>
      <c r="L186" s="233"/>
      <c r="M186" s="233"/>
    </row>
    <row r="187" spans="1:13" ht="45" outlineLevel="3" x14ac:dyDescent="0.25">
      <c r="A187" s="204" t="s">
        <v>339</v>
      </c>
      <c r="B187" s="201"/>
      <c r="C187" s="201" t="s">
        <v>340</v>
      </c>
      <c r="D187" s="201" t="s">
        <v>30</v>
      </c>
      <c r="E187" s="202">
        <v>13455092.65</v>
      </c>
      <c r="F187" s="202">
        <v>13455092.65</v>
      </c>
      <c r="G187" s="202">
        <v>10516845</v>
      </c>
      <c r="H187" s="202">
        <v>10516845</v>
      </c>
      <c r="I187" s="203">
        <v>0.78162560998790298</v>
      </c>
      <c r="J187" s="231"/>
      <c r="L187" s="233"/>
    </row>
    <row r="188" spans="1:13" ht="75" outlineLevel="4" x14ac:dyDescent="0.25">
      <c r="A188" s="204" t="s">
        <v>308</v>
      </c>
      <c r="B188" s="201" t="s">
        <v>309</v>
      </c>
      <c r="C188" s="201" t="s">
        <v>340</v>
      </c>
      <c r="D188" s="201" t="s">
        <v>30</v>
      </c>
      <c r="E188" s="202">
        <v>13455092.65</v>
      </c>
      <c r="F188" s="202">
        <v>13455092.65</v>
      </c>
      <c r="G188" s="202">
        <v>10516845</v>
      </c>
      <c r="H188" s="202">
        <v>10516845</v>
      </c>
      <c r="I188" s="203">
        <v>0.78162560998790298</v>
      </c>
      <c r="J188" s="231"/>
    </row>
    <row r="189" spans="1:13" ht="105" outlineLevel="3" x14ac:dyDescent="0.25">
      <c r="A189" s="204" t="s">
        <v>341</v>
      </c>
      <c r="B189" s="201"/>
      <c r="C189" s="201" t="s">
        <v>342</v>
      </c>
      <c r="D189" s="201" t="s">
        <v>32</v>
      </c>
      <c r="E189" s="202">
        <v>5232900</v>
      </c>
      <c r="F189" s="202">
        <v>5232900</v>
      </c>
      <c r="G189" s="202">
        <v>3797906.05</v>
      </c>
      <c r="H189" s="202">
        <v>3797906.05</v>
      </c>
      <c r="I189" s="203">
        <v>0.7257746278354259</v>
      </c>
      <c r="J189" s="231"/>
      <c r="M189" s="233">
        <f>H189+H203+H205+H213+H219+H221+H223</f>
        <v>48539817.239999995</v>
      </c>
    </row>
    <row r="190" spans="1:13" ht="75" outlineLevel="4" x14ac:dyDescent="0.25">
      <c r="A190" s="204" t="s">
        <v>308</v>
      </c>
      <c r="B190" s="201" t="s">
        <v>309</v>
      </c>
      <c r="C190" s="201" t="s">
        <v>342</v>
      </c>
      <c r="D190" s="201" t="s">
        <v>32</v>
      </c>
      <c r="E190" s="202">
        <v>5232900</v>
      </c>
      <c r="F190" s="202">
        <v>5232900</v>
      </c>
      <c r="G190" s="202">
        <v>3797906.05</v>
      </c>
      <c r="H190" s="202">
        <v>3797906.05</v>
      </c>
      <c r="I190" s="203">
        <v>0.7257746278354259</v>
      </c>
      <c r="J190" s="231"/>
    </row>
    <row r="191" spans="1:13" ht="45" outlineLevel="2" x14ac:dyDescent="0.25">
      <c r="A191" s="204" t="s">
        <v>343</v>
      </c>
      <c r="B191" s="201"/>
      <c r="C191" s="201"/>
      <c r="D191" s="201"/>
      <c r="E191" s="202">
        <v>15055662.300000001</v>
      </c>
      <c r="F191" s="202">
        <v>15055662.300000001</v>
      </c>
      <c r="G191" s="202">
        <v>8730005.8300000001</v>
      </c>
      <c r="H191" s="202">
        <v>8661694.1999999993</v>
      </c>
      <c r="I191" s="203">
        <v>0.57984867460795797</v>
      </c>
      <c r="J191" s="231"/>
    </row>
    <row r="192" spans="1:13" ht="45" outlineLevel="3" x14ac:dyDescent="0.25">
      <c r="A192" s="204" t="s">
        <v>344</v>
      </c>
      <c r="B192" s="201"/>
      <c r="C192" s="201" t="s">
        <v>345</v>
      </c>
      <c r="D192" s="201" t="s">
        <v>30</v>
      </c>
      <c r="E192" s="202">
        <v>15055662.300000001</v>
      </c>
      <c r="F192" s="202">
        <v>15055662.300000001</v>
      </c>
      <c r="G192" s="202">
        <v>8730005.8300000001</v>
      </c>
      <c r="H192" s="202">
        <v>8661694.1999999993</v>
      </c>
      <c r="I192" s="203">
        <v>0.57984867460795797</v>
      </c>
      <c r="J192" s="231"/>
    </row>
    <row r="193" spans="1:10" ht="75" outlineLevel="4" x14ac:dyDescent="0.25">
      <c r="A193" s="204" t="s">
        <v>308</v>
      </c>
      <c r="B193" s="201" t="s">
        <v>309</v>
      </c>
      <c r="C193" s="201" t="s">
        <v>345</v>
      </c>
      <c r="D193" s="201" t="s">
        <v>30</v>
      </c>
      <c r="E193" s="202">
        <v>15055662.300000001</v>
      </c>
      <c r="F193" s="202">
        <v>15055662.300000001</v>
      </c>
      <c r="G193" s="202">
        <v>8730005.8300000001</v>
      </c>
      <c r="H193" s="202">
        <v>8661694.1999999993</v>
      </c>
      <c r="I193" s="203">
        <v>0.57984867460795797</v>
      </c>
      <c r="J193" s="231"/>
    </row>
    <row r="194" spans="1:10" ht="60" outlineLevel="2" x14ac:dyDescent="0.25">
      <c r="A194" s="204" t="s">
        <v>346</v>
      </c>
      <c r="B194" s="201"/>
      <c r="C194" s="201"/>
      <c r="D194" s="201"/>
      <c r="E194" s="202">
        <v>7855408.3799999999</v>
      </c>
      <c r="F194" s="202">
        <v>7855408.3799999999</v>
      </c>
      <c r="G194" s="202">
        <v>4064929.7</v>
      </c>
      <c r="H194" s="202">
        <v>4064929.7</v>
      </c>
      <c r="I194" s="203">
        <v>0.51746892120203181</v>
      </c>
      <c r="J194" s="231"/>
    </row>
    <row r="195" spans="1:10" ht="30" outlineLevel="3" x14ac:dyDescent="0.25">
      <c r="A195" s="204" t="s">
        <v>222</v>
      </c>
      <c r="B195" s="201"/>
      <c r="C195" s="201" t="s">
        <v>347</v>
      </c>
      <c r="D195" s="201" t="s">
        <v>30</v>
      </c>
      <c r="E195" s="202">
        <v>2366000.52</v>
      </c>
      <c r="F195" s="202">
        <v>2366000.52</v>
      </c>
      <c r="G195" s="202">
        <v>113704</v>
      </c>
      <c r="H195" s="202">
        <v>113704</v>
      </c>
      <c r="I195" s="203">
        <v>4.8057470418476494E-2</v>
      </c>
      <c r="J195" s="231"/>
    </row>
    <row r="196" spans="1:10" ht="75" outlineLevel="4" x14ac:dyDescent="0.25">
      <c r="A196" s="204" t="s">
        <v>308</v>
      </c>
      <c r="B196" s="201" t="s">
        <v>309</v>
      </c>
      <c r="C196" s="201" t="s">
        <v>347</v>
      </c>
      <c r="D196" s="201" t="s">
        <v>30</v>
      </c>
      <c r="E196" s="202">
        <v>2366000.52</v>
      </c>
      <c r="F196" s="202">
        <v>2366000.52</v>
      </c>
      <c r="G196" s="202">
        <v>113704</v>
      </c>
      <c r="H196" s="202">
        <v>113704</v>
      </c>
      <c r="I196" s="203">
        <v>4.8057470418476494E-2</v>
      </c>
      <c r="J196" s="231"/>
    </row>
    <row r="197" spans="1:10" ht="30" outlineLevel="3" x14ac:dyDescent="0.25">
      <c r="A197" s="204" t="s">
        <v>224</v>
      </c>
      <c r="B197" s="201"/>
      <c r="C197" s="201" t="s">
        <v>348</v>
      </c>
      <c r="D197" s="201" t="s">
        <v>30</v>
      </c>
      <c r="E197" s="202">
        <v>5489407.8600000003</v>
      </c>
      <c r="F197" s="202">
        <v>5489407.8600000003</v>
      </c>
      <c r="G197" s="202">
        <v>3951225.7</v>
      </c>
      <c r="H197" s="202">
        <v>3951225.7</v>
      </c>
      <c r="I197" s="203">
        <v>0.7197908774080416</v>
      </c>
      <c r="J197" s="231"/>
    </row>
    <row r="198" spans="1:10" ht="75" outlineLevel="4" x14ac:dyDescent="0.25">
      <c r="A198" s="204" t="s">
        <v>308</v>
      </c>
      <c r="B198" s="201" t="s">
        <v>309</v>
      </c>
      <c r="C198" s="201" t="s">
        <v>348</v>
      </c>
      <c r="D198" s="201" t="s">
        <v>30</v>
      </c>
      <c r="E198" s="202">
        <v>5489407.8600000003</v>
      </c>
      <c r="F198" s="202">
        <v>5489407.8600000003</v>
      </c>
      <c r="G198" s="202">
        <v>3951225.7</v>
      </c>
      <c r="H198" s="202">
        <v>3951225.7</v>
      </c>
      <c r="I198" s="203">
        <v>0.7197908774080416</v>
      </c>
      <c r="J198" s="231"/>
    </row>
    <row r="199" spans="1:10" ht="45" outlineLevel="2" x14ac:dyDescent="0.25">
      <c r="A199" s="204" t="s">
        <v>349</v>
      </c>
      <c r="B199" s="201"/>
      <c r="C199" s="201"/>
      <c r="D199" s="201"/>
      <c r="E199" s="202">
        <v>2475319.7799999998</v>
      </c>
      <c r="F199" s="202">
        <v>2475319.7799999998</v>
      </c>
      <c r="G199" s="202">
        <v>1561964</v>
      </c>
      <c r="H199" s="202">
        <v>1532168</v>
      </c>
      <c r="I199" s="203">
        <v>0.63101503596436337</v>
      </c>
      <c r="J199" s="231"/>
    </row>
    <row r="200" spans="1:10" ht="30" outlineLevel="3" x14ac:dyDescent="0.25">
      <c r="A200" s="204" t="s">
        <v>224</v>
      </c>
      <c r="B200" s="201"/>
      <c r="C200" s="201" t="s">
        <v>350</v>
      </c>
      <c r="D200" s="201" t="s">
        <v>30</v>
      </c>
      <c r="E200" s="202">
        <v>2475319.7799999998</v>
      </c>
      <c r="F200" s="202">
        <v>2475319.7799999998</v>
      </c>
      <c r="G200" s="202">
        <v>1561964</v>
      </c>
      <c r="H200" s="202">
        <v>1532168</v>
      </c>
      <c r="I200" s="203">
        <v>0.63101503596436337</v>
      </c>
      <c r="J200" s="231"/>
    </row>
    <row r="201" spans="1:10" ht="75" outlineLevel="4" x14ac:dyDescent="0.25">
      <c r="A201" s="204" t="s">
        <v>308</v>
      </c>
      <c r="B201" s="201" t="s">
        <v>309</v>
      </c>
      <c r="C201" s="201" t="s">
        <v>350</v>
      </c>
      <c r="D201" s="201" t="s">
        <v>30</v>
      </c>
      <c r="E201" s="202">
        <v>2475319.7799999998</v>
      </c>
      <c r="F201" s="202">
        <v>2475319.7799999998</v>
      </c>
      <c r="G201" s="202">
        <v>1561964</v>
      </c>
      <c r="H201" s="202">
        <v>1532168</v>
      </c>
      <c r="I201" s="203">
        <v>0.63101503596436337</v>
      </c>
      <c r="J201" s="231"/>
    </row>
    <row r="202" spans="1:10" ht="30" outlineLevel="2" x14ac:dyDescent="0.25">
      <c r="A202" s="204" t="s">
        <v>351</v>
      </c>
      <c r="B202" s="201"/>
      <c r="C202" s="201"/>
      <c r="D202" s="201"/>
      <c r="E202" s="202">
        <v>34095347.759999998</v>
      </c>
      <c r="F202" s="202">
        <v>34095347.759999998</v>
      </c>
      <c r="G202" s="202">
        <v>20627664.18</v>
      </c>
      <c r="H202" s="202">
        <v>20627664.18</v>
      </c>
      <c r="I202" s="203">
        <v>0.60499937778021362</v>
      </c>
      <c r="J202" s="231"/>
    </row>
    <row r="203" spans="1:10" ht="45" outlineLevel="3" x14ac:dyDescent="0.25">
      <c r="A203" s="204" t="s">
        <v>352</v>
      </c>
      <c r="B203" s="201"/>
      <c r="C203" s="201" t="s">
        <v>353</v>
      </c>
      <c r="D203" s="201" t="s">
        <v>32</v>
      </c>
      <c r="E203" s="202">
        <v>23305560</v>
      </c>
      <c r="F203" s="202">
        <v>23305560</v>
      </c>
      <c r="G203" s="202">
        <v>19080589.370000001</v>
      </c>
      <c r="H203" s="202">
        <v>19080589.370000001</v>
      </c>
      <c r="I203" s="203">
        <v>0.81871404806406711</v>
      </c>
      <c r="J203" s="231"/>
    </row>
    <row r="204" spans="1:10" ht="75" outlineLevel="4" x14ac:dyDescent="0.25">
      <c r="A204" s="204" t="s">
        <v>308</v>
      </c>
      <c r="B204" s="201" t="s">
        <v>309</v>
      </c>
      <c r="C204" s="201" t="s">
        <v>353</v>
      </c>
      <c r="D204" s="201" t="s">
        <v>32</v>
      </c>
      <c r="E204" s="202">
        <v>23305560</v>
      </c>
      <c r="F204" s="202">
        <v>23305560</v>
      </c>
      <c r="G204" s="202">
        <v>19080589.370000001</v>
      </c>
      <c r="H204" s="202">
        <v>19080589.370000001</v>
      </c>
      <c r="I204" s="203">
        <v>0.81871404806406711</v>
      </c>
      <c r="J204" s="231"/>
    </row>
    <row r="205" spans="1:10" ht="75" outlineLevel="3" x14ac:dyDescent="0.25">
      <c r="A205" s="204" t="s">
        <v>354</v>
      </c>
      <c r="B205" s="201"/>
      <c r="C205" s="201" t="s">
        <v>355</v>
      </c>
      <c r="D205" s="201" t="s">
        <v>32</v>
      </c>
      <c r="E205" s="202">
        <v>8232636.6699999999</v>
      </c>
      <c r="F205" s="202">
        <v>8232636.6699999999</v>
      </c>
      <c r="G205" s="202">
        <v>0</v>
      </c>
      <c r="H205" s="202">
        <v>0</v>
      </c>
      <c r="I205" s="203">
        <v>0</v>
      </c>
      <c r="J205" s="231"/>
    </row>
    <row r="206" spans="1:10" ht="75" outlineLevel="4" x14ac:dyDescent="0.25">
      <c r="A206" s="204" t="s">
        <v>308</v>
      </c>
      <c r="B206" s="201" t="s">
        <v>309</v>
      </c>
      <c r="C206" s="201" t="s">
        <v>355</v>
      </c>
      <c r="D206" s="201" t="s">
        <v>32</v>
      </c>
      <c r="E206" s="202">
        <v>8232636.6699999999</v>
      </c>
      <c r="F206" s="202">
        <v>8232636.6699999999</v>
      </c>
      <c r="G206" s="202">
        <v>0</v>
      </c>
      <c r="H206" s="202">
        <v>0</v>
      </c>
      <c r="I206" s="203">
        <v>0</v>
      </c>
      <c r="J206" s="231"/>
    </row>
    <row r="207" spans="1:10" ht="60" outlineLevel="3" x14ac:dyDescent="0.25">
      <c r="A207" s="204" t="s">
        <v>356</v>
      </c>
      <c r="B207" s="201"/>
      <c r="C207" s="201" t="s">
        <v>357</v>
      </c>
      <c r="D207" s="201" t="s">
        <v>30</v>
      </c>
      <c r="E207" s="202">
        <v>1889640</v>
      </c>
      <c r="F207" s="202">
        <v>1889640</v>
      </c>
      <c r="G207" s="202">
        <v>1547074.81</v>
      </c>
      <c r="H207" s="202">
        <v>1547074.81</v>
      </c>
      <c r="I207" s="203">
        <v>0.81871404606168374</v>
      </c>
      <c r="J207" s="231"/>
    </row>
    <row r="208" spans="1:10" ht="75" outlineLevel="4" x14ac:dyDescent="0.25">
      <c r="A208" s="204" t="s">
        <v>308</v>
      </c>
      <c r="B208" s="201" t="s">
        <v>309</v>
      </c>
      <c r="C208" s="201" t="s">
        <v>357</v>
      </c>
      <c r="D208" s="201" t="s">
        <v>30</v>
      </c>
      <c r="E208" s="202">
        <v>1889640</v>
      </c>
      <c r="F208" s="202">
        <v>1889640</v>
      </c>
      <c r="G208" s="202">
        <v>1547074.81</v>
      </c>
      <c r="H208" s="202">
        <v>1547074.81</v>
      </c>
      <c r="I208" s="203">
        <v>0.81871404606168374</v>
      </c>
      <c r="J208" s="231"/>
    </row>
    <row r="209" spans="1:10" ht="90" outlineLevel="3" x14ac:dyDescent="0.25">
      <c r="A209" s="204" t="s">
        <v>358</v>
      </c>
      <c r="B209" s="201"/>
      <c r="C209" s="201" t="s">
        <v>359</v>
      </c>
      <c r="D209" s="201" t="s">
        <v>30</v>
      </c>
      <c r="E209" s="202">
        <v>667511.09</v>
      </c>
      <c r="F209" s="202">
        <v>667511.09</v>
      </c>
      <c r="G209" s="202">
        <v>0</v>
      </c>
      <c r="H209" s="202">
        <v>0</v>
      </c>
      <c r="I209" s="203">
        <v>0</v>
      </c>
      <c r="J209" s="231"/>
    </row>
    <row r="210" spans="1:10" ht="75" outlineLevel="4" x14ac:dyDescent="0.25">
      <c r="A210" s="204" t="s">
        <v>308</v>
      </c>
      <c r="B210" s="201" t="s">
        <v>309</v>
      </c>
      <c r="C210" s="201" t="s">
        <v>359</v>
      </c>
      <c r="D210" s="201" t="s">
        <v>30</v>
      </c>
      <c r="E210" s="202">
        <v>667511.09</v>
      </c>
      <c r="F210" s="202">
        <v>667511.09</v>
      </c>
      <c r="G210" s="202">
        <v>0</v>
      </c>
      <c r="H210" s="202">
        <v>0</v>
      </c>
      <c r="I210" s="203">
        <v>0</v>
      </c>
      <c r="J210" s="231"/>
    </row>
    <row r="211" spans="1:10" ht="30" outlineLevel="2" x14ac:dyDescent="0.25">
      <c r="A211" s="204" t="s">
        <v>360</v>
      </c>
      <c r="B211" s="201"/>
      <c r="C211" s="201"/>
      <c r="D211" s="201"/>
      <c r="E211" s="202">
        <v>1791361.14</v>
      </c>
      <c r="F211" s="202">
        <v>1791361.14</v>
      </c>
      <c r="G211" s="202">
        <v>220000</v>
      </c>
      <c r="H211" s="202">
        <v>120285.72</v>
      </c>
      <c r="I211" s="203">
        <v>0.12281164031502882</v>
      </c>
      <c r="J211" s="231"/>
    </row>
    <row r="212" spans="1:10" ht="45" outlineLevel="3" x14ac:dyDescent="0.25">
      <c r="A212" s="204" t="s">
        <v>361</v>
      </c>
      <c r="B212" s="201"/>
      <c r="C212" s="201" t="s">
        <v>362</v>
      </c>
      <c r="D212" s="201" t="s">
        <v>32</v>
      </c>
      <c r="E212" s="202">
        <v>1461361.14</v>
      </c>
      <c r="F212" s="202">
        <v>1461361.14</v>
      </c>
      <c r="G212" s="202">
        <v>120285.72</v>
      </c>
      <c r="H212" s="202">
        <v>98126.99</v>
      </c>
      <c r="I212" s="203">
        <v>8.23107421619272E-2</v>
      </c>
      <c r="J212" s="231"/>
    </row>
    <row r="213" spans="1:10" ht="75" outlineLevel="4" x14ac:dyDescent="0.25">
      <c r="A213" s="204" t="s">
        <v>308</v>
      </c>
      <c r="B213" s="201" t="s">
        <v>309</v>
      </c>
      <c r="C213" s="201" t="s">
        <v>362</v>
      </c>
      <c r="D213" s="201" t="s">
        <v>32</v>
      </c>
      <c r="E213" s="202">
        <v>1461361.14</v>
      </c>
      <c r="F213" s="202">
        <v>1461361.14</v>
      </c>
      <c r="G213" s="202">
        <v>120285.72</v>
      </c>
      <c r="H213" s="202">
        <v>98126.99</v>
      </c>
      <c r="I213" s="203">
        <v>8.23107421619272E-2</v>
      </c>
      <c r="J213" s="231"/>
    </row>
    <row r="214" spans="1:10" ht="75" outlineLevel="3" x14ac:dyDescent="0.25">
      <c r="A214" s="204" t="s">
        <v>363</v>
      </c>
      <c r="B214" s="201"/>
      <c r="C214" s="201" t="s">
        <v>364</v>
      </c>
      <c r="D214" s="201" t="s">
        <v>30</v>
      </c>
      <c r="E214" s="202">
        <v>330000</v>
      </c>
      <c r="F214" s="202">
        <v>330000</v>
      </c>
      <c r="G214" s="202">
        <v>99714.28</v>
      </c>
      <c r="H214" s="202">
        <v>22158.73</v>
      </c>
      <c r="I214" s="203">
        <v>0.30216448484848485</v>
      </c>
      <c r="J214" s="231"/>
    </row>
    <row r="215" spans="1:10" ht="75" outlineLevel="4" x14ac:dyDescent="0.25">
      <c r="A215" s="204" t="s">
        <v>308</v>
      </c>
      <c r="B215" s="201" t="s">
        <v>309</v>
      </c>
      <c r="C215" s="201" t="s">
        <v>364</v>
      </c>
      <c r="D215" s="201" t="s">
        <v>30</v>
      </c>
      <c r="E215" s="202">
        <v>330000</v>
      </c>
      <c r="F215" s="202">
        <v>330000</v>
      </c>
      <c r="G215" s="202">
        <v>99714.28</v>
      </c>
      <c r="H215" s="202">
        <v>22158.73</v>
      </c>
      <c r="I215" s="203">
        <v>0.30216448484848485</v>
      </c>
      <c r="J215" s="231"/>
    </row>
    <row r="216" spans="1:10" ht="38.25" customHeight="1" outlineLevel="2" x14ac:dyDescent="0.25">
      <c r="A216" s="204" t="s">
        <v>365</v>
      </c>
      <c r="B216" s="201"/>
      <c r="C216" s="201"/>
      <c r="D216" s="201"/>
      <c r="E216" s="202">
        <v>237386829.34999999</v>
      </c>
      <c r="F216" s="202">
        <v>237385160.81</v>
      </c>
      <c r="G216" s="202">
        <v>67646186.150000006</v>
      </c>
      <c r="H216" s="202">
        <v>67646186.150000006</v>
      </c>
      <c r="I216" s="203">
        <v>0.28496183354074528</v>
      </c>
      <c r="J216" s="231"/>
    </row>
    <row r="217" spans="1:10" ht="16.5" customHeight="1" outlineLevel="3" x14ac:dyDescent="0.25">
      <c r="A217" s="513" t="s">
        <v>366</v>
      </c>
      <c r="B217" s="205">
        <v>914</v>
      </c>
      <c r="C217" s="516" t="s">
        <v>367</v>
      </c>
      <c r="D217" s="206" t="s">
        <v>28</v>
      </c>
      <c r="E217" s="207">
        <v>163650000</v>
      </c>
      <c r="F217" s="207">
        <v>163650000</v>
      </c>
      <c r="G217" s="207">
        <v>36059626.399999999</v>
      </c>
      <c r="H217" s="207">
        <v>36059626.399999999</v>
      </c>
      <c r="I217" s="208">
        <v>0.22034602138710663</v>
      </c>
      <c r="J217" s="231"/>
    </row>
    <row r="218" spans="1:10" outlineLevel="3" x14ac:dyDescent="0.25">
      <c r="A218" s="514"/>
      <c r="B218" s="209">
        <v>914</v>
      </c>
      <c r="C218" s="517"/>
      <c r="D218" s="206" t="s">
        <v>34</v>
      </c>
      <c r="E218" s="207">
        <v>100000000</v>
      </c>
      <c r="F218" s="207">
        <v>100000000</v>
      </c>
      <c r="G218" s="207">
        <v>36059626.399999999</v>
      </c>
      <c r="H218" s="207">
        <v>36059626.399999999</v>
      </c>
      <c r="I218" s="208"/>
      <c r="J218" s="231"/>
    </row>
    <row r="219" spans="1:10" outlineLevel="3" x14ac:dyDescent="0.25">
      <c r="A219" s="514"/>
      <c r="B219" s="209">
        <v>914</v>
      </c>
      <c r="C219" s="517"/>
      <c r="D219" s="206" t="s">
        <v>32</v>
      </c>
      <c r="E219" s="207">
        <v>62210000</v>
      </c>
      <c r="F219" s="207">
        <v>62210000</v>
      </c>
      <c r="G219" s="207">
        <v>0</v>
      </c>
      <c r="H219" s="207">
        <v>0</v>
      </c>
      <c r="I219" s="208"/>
      <c r="J219" s="231"/>
    </row>
    <row r="220" spans="1:10" outlineLevel="3" x14ac:dyDescent="0.25">
      <c r="A220" s="515"/>
      <c r="B220" s="210">
        <v>914</v>
      </c>
      <c r="C220" s="518"/>
      <c r="D220" s="206" t="s">
        <v>30</v>
      </c>
      <c r="E220" s="207">
        <v>1440000</v>
      </c>
      <c r="F220" s="207">
        <v>1440000</v>
      </c>
      <c r="G220" s="207">
        <v>0</v>
      </c>
      <c r="H220" s="207">
        <v>0</v>
      </c>
      <c r="I220" s="208"/>
      <c r="J220" s="231"/>
    </row>
    <row r="221" spans="1:10" ht="75" outlineLevel="3" x14ac:dyDescent="0.25">
      <c r="A221" s="204" t="s">
        <v>368</v>
      </c>
      <c r="B221" s="201"/>
      <c r="C221" s="201" t="s">
        <v>369</v>
      </c>
      <c r="D221" s="201" t="s">
        <v>32</v>
      </c>
      <c r="E221" s="202">
        <v>16022051.550000001</v>
      </c>
      <c r="F221" s="202">
        <v>16022051.550000001</v>
      </c>
      <c r="G221" s="202">
        <v>2809013.18</v>
      </c>
      <c r="H221" s="202">
        <v>2809013.18</v>
      </c>
      <c r="I221" s="203">
        <v>0.17532169155953065</v>
      </c>
      <c r="J221" s="231"/>
    </row>
    <row r="222" spans="1:10" ht="75" outlineLevel="4" x14ac:dyDescent="0.25">
      <c r="A222" s="204" t="s">
        <v>308</v>
      </c>
      <c r="B222" s="201" t="s">
        <v>309</v>
      </c>
      <c r="C222" s="201" t="s">
        <v>369</v>
      </c>
      <c r="D222" s="201" t="s">
        <v>32</v>
      </c>
      <c r="E222" s="202">
        <v>16022051.550000001</v>
      </c>
      <c r="F222" s="202">
        <v>16022051.550000001</v>
      </c>
      <c r="G222" s="202">
        <v>2809013.18</v>
      </c>
      <c r="H222" s="202">
        <v>2809013.18</v>
      </c>
      <c r="I222" s="203">
        <v>0.17532169155953065</v>
      </c>
      <c r="J222" s="231"/>
    </row>
    <row r="223" spans="1:10" ht="75" outlineLevel="3" x14ac:dyDescent="0.25">
      <c r="A223" s="204" t="s">
        <v>370</v>
      </c>
      <c r="B223" s="201"/>
      <c r="C223" s="201" t="s">
        <v>371</v>
      </c>
      <c r="D223" s="201" t="s">
        <v>32</v>
      </c>
      <c r="E223" s="202">
        <v>44961977.130000003</v>
      </c>
      <c r="F223" s="202">
        <v>44961977.130000003</v>
      </c>
      <c r="G223" s="202">
        <v>22754181.649999999</v>
      </c>
      <c r="H223" s="202">
        <v>22754181.649999999</v>
      </c>
      <c r="I223" s="203">
        <v>0.50607609145412147</v>
      </c>
      <c r="J223" s="231"/>
    </row>
    <row r="224" spans="1:10" ht="75" outlineLevel="4" x14ac:dyDescent="0.25">
      <c r="A224" s="204" t="s">
        <v>308</v>
      </c>
      <c r="B224" s="201" t="s">
        <v>309</v>
      </c>
      <c r="C224" s="201" t="s">
        <v>371</v>
      </c>
      <c r="D224" s="201" t="s">
        <v>32</v>
      </c>
      <c r="E224" s="202">
        <v>44961977.130000003</v>
      </c>
      <c r="F224" s="202">
        <v>44961977.130000003</v>
      </c>
      <c r="G224" s="202">
        <v>22754181.649999999</v>
      </c>
      <c r="H224" s="202">
        <v>22754181.649999999</v>
      </c>
      <c r="I224" s="203">
        <v>0.50607609145412147</v>
      </c>
      <c r="J224" s="231"/>
    </row>
    <row r="225" spans="1:10" ht="90" outlineLevel="3" x14ac:dyDescent="0.25">
      <c r="A225" s="204" t="s">
        <v>372</v>
      </c>
      <c r="B225" s="201"/>
      <c r="C225" s="201" t="s">
        <v>373</v>
      </c>
      <c r="D225" s="201" t="s">
        <v>30</v>
      </c>
      <c r="E225" s="202">
        <v>1300753.8</v>
      </c>
      <c r="F225" s="202">
        <v>1299085.26</v>
      </c>
      <c r="G225" s="202">
        <v>227757.82</v>
      </c>
      <c r="H225" s="202">
        <v>227757.82</v>
      </c>
      <c r="I225" s="203">
        <v>0.17509679387444418</v>
      </c>
      <c r="J225" s="231"/>
    </row>
    <row r="226" spans="1:10" ht="75" outlineLevel="4" x14ac:dyDescent="0.25">
      <c r="A226" s="204" t="s">
        <v>308</v>
      </c>
      <c r="B226" s="201" t="s">
        <v>309</v>
      </c>
      <c r="C226" s="201" t="s">
        <v>373</v>
      </c>
      <c r="D226" s="201" t="s">
        <v>30</v>
      </c>
      <c r="E226" s="202">
        <v>1300753.8</v>
      </c>
      <c r="F226" s="202">
        <v>1299085.26</v>
      </c>
      <c r="G226" s="202">
        <v>227757.82</v>
      </c>
      <c r="H226" s="202">
        <v>227757.82</v>
      </c>
      <c r="I226" s="203">
        <v>0.17509679387444418</v>
      </c>
      <c r="J226" s="231"/>
    </row>
    <row r="227" spans="1:10" ht="105" outlineLevel="3" x14ac:dyDescent="0.25">
      <c r="A227" s="204" t="s">
        <v>374</v>
      </c>
      <c r="B227" s="201"/>
      <c r="C227" s="201" t="s">
        <v>375</v>
      </c>
      <c r="D227" s="201" t="s">
        <v>30</v>
      </c>
      <c r="E227" s="202">
        <v>11452046.869999999</v>
      </c>
      <c r="F227" s="202">
        <v>11452046.869999999</v>
      </c>
      <c r="G227" s="202">
        <v>5795607.0999999996</v>
      </c>
      <c r="H227" s="202">
        <v>5795607.0999999996</v>
      </c>
      <c r="I227" s="203">
        <v>0.50607608978463781</v>
      </c>
      <c r="J227" s="231"/>
    </row>
    <row r="228" spans="1:10" ht="75" outlineLevel="4" x14ac:dyDescent="0.25">
      <c r="A228" s="204" t="s">
        <v>308</v>
      </c>
      <c r="B228" s="201" t="s">
        <v>309</v>
      </c>
      <c r="C228" s="201" t="s">
        <v>375</v>
      </c>
      <c r="D228" s="201" t="s">
        <v>30</v>
      </c>
      <c r="E228" s="202">
        <v>11452046.869999999</v>
      </c>
      <c r="F228" s="202">
        <v>11452046.869999999</v>
      </c>
      <c r="G228" s="202">
        <v>5795607.0999999996</v>
      </c>
      <c r="H228" s="202">
        <v>5795607.0999999996</v>
      </c>
      <c r="I228" s="203">
        <v>0.50607608978463781</v>
      </c>
      <c r="J228" s="231"/>
    </row>
    <row r="229" spans="1:10" ht="45" x14ac:dyDescent="0.25">
      <c r="A229" s="196" t="s">
        <v>376</v>
      </c>
      <c r="B229" s="197"/>
      <c r="C229" s="197"/>
      <c r="D229" s="197"/>
      <c r="E229" s="198">
        <v>283520285.81999999</v>
      </c>
      <c r="F229" s="198">
        <v>283520285.54000002</v>
      </c>
      <c r="G229" s="198">
        <v>198955843.63</v>
      </c>
      <c r="H229" s="198">
        <v>198906272.88999999</v>
      </c>
      <c r="I229" s="199">
        <v>0.70173406835626617</v>
      </c>
      <c r="J229" s="231"/>
    </row>
    <row r="230" spans="1:10" ht="30" outlineLevel="1" x14ac:dyDescent="0.25">
      <c r="A230" s="200" t="s">
        <v>377</v>
      </c>
      <c r="B230" s="201"/>
      <c r="C230" s="201"/>
      <c r="D230" s="201"/>
      <c r="E230" s="202">
        <v>6592031.1100000003</v>
      </c>
      <c r="F230" s="202">
        <v>6592031.1100000003</v>
      </c>
      <c r="G230" s="202">
        <v>4282053.96</v>
      </c>
      <c r="H230" s="202">
        <v>4276078.58</v>
      </c>
      <c r="I230" s="203">
        <v>0.64958036279655851</v>
      </c>
      <c r="J230" s="231"/>
    </row>
    <row r="231" spans="1:10" ht="45" outlineLevel="2" x14ac:dyDescent="0.25">
      <c r="A231" s="204" t="s">
        <v>378</v>
      </c>
      <c r="B231" s="201"/>
      <c r="C231" s="201"/>
      <c r="D231" s="201"/>
      <c r="E231" s="202">
        <v>6592031.1100000003</v>
      </c>
      <c r="F231" s="202">
        <v>6592031.1100000003</v>
      </c>
      <c r="G231" s="202">
        <v>4282053.96</v>
      </c>
      <c r="H231" s="202">
        <v>4276078.58</v>
      </c>
      <c r="I231" s="203">
        <v>0.64958036279655851</v>
      </c>
      <c r="J231" s="231"/>
    </row>
    <row r="232" spans="1:10" ht="45" outlineLevel="3" x14ac:dyDescent="0.25">
      <c r="A232" s="204" t="s">
        <v>276</v>
      </c>
      <c r="B232" s="201"/>
      <c r="C232" s="201" t="s">
        <v>379</v>
      </c>
      <c r="D232" s="201" t="s">
        <v>30</v>
      </c>
      <c r="E232" s="202">
        <v>6352930.1100000003</v>
      </c>
      <c r="F232" s="202">
        <v>6352930.1100000003</v>
      </c>
      <c r="G232" s="202">
        <v>4181335.96</v>
      </c>
      <c r="H232" s="202">
        <v>4175360.58</v>
      </c>
      <c r="I232" s="203">
        <v>0.6581743994662016</v>
      </c>
      <c r="J232" s="231"/>
    </row>
    <row r="233" spans="1:10" ht="45" outlineLevel="4" x14ac:dyDescent="0.25">
      <c r="A233" s="204" t="s">
        <v>262</v>
      </c>
      <c r="B233" s="201" t="s">
        <v>263</v>
      </c>
      <c r="C233" s="201" t="s">
        <v>379</v>
      </c>
      <c r="D233" s="201" t="s">
        <v>30</v>
      </c>
      <c r="E233" s="202">
        <v>6352930.1100000003</v>
      </c>
      <c r="F233" s="202">
        <v>6352930.1100000003</v>
      </c>
      <c r="G233" s="202">
        <v>4181335.96</v>
      </c>
      <c r="H233" s="202">
        <v>4175360.58</v>
      </c>
      <c r="I233" s="203">
        <v>0.6581743994662016</v>
      </c>
      <c r="J233" s="231"/>
    </row>
    <row r="234" spans="1:10" ht="45" outlineLevel="3" x14ac:dyDescent="0.25">
      <c r="A234" s="204" t="s">
        <v>278</v>
      </c>
      <c r="B234" s="201"/>
      <c r="C234" s="201" t="s">
        <v>380</v>
      </c>
      <c r="D234" s="201" t="s">
        <v>30</v>
      </c>
      <c r="E234" s="202">
        <v>54901</v>
      </c>
      <c r="F234" s="202">
        <v>54901</v>
      </c>
      <c r="G234" s="202">
        <v>10181</v>
      </c>
      <c r="H234" s="202">
        <v>10181</v>
      </c>
      <c r="I234" s="203">
        <v>0.18544288810768475</v>
      </c>
      <c r="J234" s="231"/>
    </row>
    <row r="235" spans="1:10" ht="45" outlineLevel="4" x14ac:dyDescent="0.25">
      <c r="A235" s="204" t="s">
        <v>262</v>
      </c>
      <c r="B235" s="201" t="s">
        <v>263</v>
      </c>
      <c r="C235" s="201" t="s">
        <v>380</v>
      </c>
      <c r="D235" s="201" t="s">
        <v>30</v>
      </c>
      <c r="E235" s="202">
        <v>54901</v>
      </c>
      <c r="F235" s="202">
        <v>54901</v>
      </c>
      <c r="G235" s="202">
        <v>10181</v>
      </c>
      <c r="H235" s="202">
        <v>10181</v>
      </c>
      <c r="I235" s="203">
        <v>0.18544288810768475</v>
      </c>
      <c r="J235" s="231"/>
    </row>
    <row r="236" spans="1:10" ht="75" outlineLevel="3" x14ac:dyDescent="0.25">
      <c r="A236" s="204" t="s">
        <v>280</v>
      </c>
      <c r="B236" s="201"/>
      <c r="C236" s="201" t="s">
        <v>381</v>
      </c>
      <c r="D236" s="201" t="s">
        <v>30</v>
      </c>
      <c r="E236" s="202">
        <v>34200</v>
      </c>
      <c r="F236" s="202">
        <v>34200</v>
      </c>
      <c r="G236" s="202">
        <v>0</v>
      </c>
      <c r="H236" s="202">
        <v>0</v>
      </c>
      <c r="I236" s="203">
        <v>0</v>
      </c>
      <c r="J236" s="231"/>
    </row>
    <row r="237" spans="1:10" ht="45" outlineLevel="4" x14ac:dyDescent="0.25">
      <c r="A237" s="204" t="s">
        <v>262</v>
      </c>
      <c r="B237" s="201" t="s">
        <v>263</v>
      </c>
      <c r="C237" s="201" t="s">
        <v>381</v>
      </c>
      <c r="D237" s="201" t="s">
        <v>30</v>
      </c>
      <c r="E237" s="202">
        <v>34200</v>
      </c>
      <c r="F237" s="202">
        <v>34200</v>
      </c>
      <c r="G237" s="202">
        <v>0</v>
      </c>
      <c r="H237" s="202">
        <v>0</v>
      </c>
      <c r="I237" s="203">
        <v>0</v>
      </c>
      <c r="J237" s="231"/>
    </row>
    <row r="238" spans="1:10" ht="75" outlineLevel="3" x14ac:dyDescent="0.25">
      <c r="A238" s="204" t="s">
        <v>205</v>
      </c>
      <c r="B238" s="201"/>
      <c r="C238" s="201" t="s">
        <v>382</v>
      </c>
      <c r="D238" s="201" t="s">
        <v>30</v>
      </c>
      <c r="E238" s="202">
        <v>150000</v>
      </c>
      <c r="F238" s="202">
        <v>150000</v>
      </c>
      <c r="G238" s="202">
        <v>90537</v>
      </c>
      <c r="H238" s="202">
        <v>90537</v>
      </c>
      <c r="I238" s="203">
        <v>0.60358000000000001</v>
      </c>
      <c r="J238" s="231"/>
    </row>
    <row r="239" spans="1:10" ht="45" outlineLevel="4" x14ac:dyDescent="0.25">
      <c r="A239" s="204" t="s">
        <v>262</v>
      </c>
      <c r="B239" s="201" t="s">
        <v>263</v>
      </c>
      <c r="C239" s="201" t="s">
        <v>382</v>
      </c>
      <c r="D239" s="201" t="s">
        <v>30</v>
      </c>
      <c r="E239" s="202">
        <v>150000</v>
      </c>
      <c r="F239" s="202">
        <v>150000</v>
      </c>
      <c r="G239" s="202">
        <v>90537</v>
      </c>
      <c r="H239" s="202">
        <v>90537</v>
      </c>
      <c r="I239" s="203">
        <v>0.60358000000000001</v>
      </c>
      <c r="J239" s="231"/>
    </row>
    <row r="240" spans="1:10" ht="30" outlineLevel="1" x14ac:dyDescent="0.25">
      <c r="A240" s="200" t="s">
        <v>383</v>
      </c>
      <c r="B240" s="201"/>
      <c r="C240" s="201"/>
      <c r="D240" s="201"/>
      <c r="E240" s="202">
        <v>54770561.789999999</v>
      </c>
      <c r="F240" s="202">
        <v>54770561.789999999</v>
      </c>
      <c r="G240" s="202">
        <v>29748660.82</v>
      </c>
      <c r="H240" s="202">
        <v>29748660.82</v>
      </c>
      <c r="I240" s="203">
        <v>0.54315055109461208</v>
      </c>
      <c r="J240" s="231"/>
    </row>
    <row r="241" spans="1:13" outlineLevel="2" x14ac:dyDescent="0.25">
      <c r="A241" s="204" t="s">
        <v>384</v>
      </c>
      <c r="B241" s="201"/>
      <c r="C241" s="201"/>
      <c r="D241" s="201"/>
      <c r="E241" s="202">
        <v>4281700</v>
      </c>
      <c r="F241" s="202">
        <v>4281700</v>
      </c>
      <c r="G241" s="202">
        <v>716439.96</v>
      </c>
      <c r="H241" s="202">
        <v>716439.96</v>
      </c>
      <c r="I241" s="203">
        <v>0.16732605273606277</v>
      </c>
      <c r="J241" s="231"/>
    </row>
    <row r="242" spans="1:13" ht="30" outlineLevel="3" x14ac:dyDescent="0.25">
      <c r="A242" s="204" t="s">
        <v>224</v>
      </c>
      <c r="B242" s="201"/>
      <c r="C242" s="201" t="s">
        <v>385</v>
      </c>
      <c r="D242" s="201" t="s">
        <v>30</v>
      </c>
      <c r="E242" s="202">
        <v>1115000</v>
      </c>
      <c r="F242" s="202">
        <v>1115000</v>
      </c>
      <c r="G242" s="202">
        <v>716439.96</v>
      </c>
      <c r="H242" s="202">
        <v>716439.96</v>
      </c>
      <c r="I242" s="203">
        <v>0.64254704932735429</v>
      </c>
      <c r="J242" s="231"/>
    </row>
    <row r="243" spans="1:13" ht="45" outlineLevel="4" x14ac:dyDescent="0.25">
      <c r="A243" s="204" t="s">
        <v>262</v>
      </c>
      <c r="B243" s="201" t="s">
        <v>263</v>
      </c>
      <c r="C243" s="201" t="s">
        <v>385</v>
      </c>
      <c r="D243" s="201" t="s">
        <v>30</v>
      </c>
      <c r="E243" s="202">
        <v>1115000</v>
      </c>
      <c r="F243" s="202">
        <v>1115000</v>
      </c>
      <c r="G243" s="202">
        <v>716439.96</v>
      </c>
      <c r="H243" s="202">
        <v>716439.96</v>
      </c>
      <c r="I243" s="203">
        <v>0.64254704932735429</v>
      </c>
      <c r="J243" s="231"/>
    </row>
    <row r="244" spans="1:13" ht="30" customHeight="1" outlineLevel="3" x14ac:dyDescent="0.25">
      <c r="A244" s="513" t="s">
        <v>247</v>
      </c>
      <c r="B244" s="205">
        <v>914</v>
      </c>
      <c r="C244" s="516" t="s">
        <v>386</v>
      </c>
      <c r="D244" s="206" t="s">
        <v>28</v>
      </c>
      <c r="E244" s="207">
        <v>3166700</v>
      </c>
      <c r="F244" s="207">
        <v>3166700</v>
      </c>
      <c r="G244" s="207">
        <v>0</v>
      </c>
      <c r="H244" s="207">
        <v>0</v>
      </c>
      <c r="I244" s="208">
        <v>0</v>
      </c>
      <c r="J244" s="231"/>
      <c r="K244" s="232" t="s">
        <v>3</v>
      </c>
      <c r="L244" s="233">
        <f>E246+E248+E250+E268</f>
        <v>28623189.66</v>
      </c>
      <c r="M244" s="233">
        <f>H248+H268</f>
        <v>13192782.719999999</v>
      </c>
    </row>
    <row r="245" spans="1:13" outlineLevel="3" x14ac:dyDescent="0.25">
      <c r="A245" s="514"/>
      <c r="B245" s="209">
        <v>914</v>
      </c>
      <c r="C245" s="517"/>
      <c r="D245" s="206" t="s">
        <v>34</v>
      </c>
      <c r="E245" s="207">
        <v>2248400</v>
      </c>
      <c r="F245" s="207">
        <v>2248400</v>
      </c>
      <c r="G245" s="207">
        <v>0</v>
      </c>
      <c r="H245" s="207">
        <v>0</v>
      </c>
      <c r="I245" s="208"/>
      <c r="J245" s="231"/>
    </row>
    <row r="246" spans="1:13" outlineLevel="3" x14ac:dyDescent="0.25">
      <c r="A246" s="515"/>
      <c r="B246" s="210">
        <v>914</v>
      </c>
      <c r="C246" s="518"/>
      <c r="D246" s="206" t="s">
        <v>32</v>
      </c>
      <c r="E246" s="207">
        <v>918300</v>
      </c>
      <c r="F246" s="207">
        <v>918300</v>
      </c>
      <c r="G246" s="207">
        <v>0</v>
      </c>
      <c r="H246" s="207">
        <v>0</v>
      </c>
      <c r="I246" s="208"/>
      <c r="J246" s="231"/>
    </row>
    <row r="247" spans="1:13" outlineLevel="2" x14ac:dyDescent="0.25">
      <c r="A247" s="204" t="s">
        <v>387</v>
      </c>
      <c r="B247" s="201"/>
      <c r="C247" s="201"/>
      <c r="D247" s="201"/>
      <c r="E247" s="202">
        <v>29297664.23</v>
      </c>
      <c r="F247" s="202">
        <v>29297664.23</v>
      </c>
      <c r="G247" s="202">
        <v>13772314</v>
      </c>
      <c r="H247" s="202">
        <v>13772314</v>
      </c>
      <c r="I247" s="203">
        <v>0.47008232096187141</v>
      </c>
      <c r="J247" s="231"/>
    </row>
    <row r="248" spans="1:13" ht="60" outlineLevel="3" x14ac:dyDescent="0.25">
      <c r="A248" s="204" t="s">
        <v>388</v>
      </c>
      <c r="B248" s="201"/>
      <c r="C248" s="201" t="s">
        <v>389</v>
      </c>
      <c r="D248" s="201" t="s">
        <v>32</v>
      </c>
      <c r="E248" s="202">
        <v>25000000</v>
      </c>
      <c r="F248" s="202">
        <v>25000000</v>
      </c>
      <c r="G248" s="202">
        <v>12739390.449999999</v>
      </c>
      <c r="H248" s="202">
        <v>12739390.449999999</v>
      </c>
      <c r="I248" s="203">
        <v>0.50957561799999995</v>
      </c>
      <c r="J248" s="231"/>
    </row>
    <row r="249" spans="1:13" ht="30" outlineLevel="4" x14ac:dyDescent="0.25">
      <c r="A249" s="204" t="s">
        <v>203</v>
      </c>
      <c r="B249" s="201" t="s">
        <v>204</v>
      </c>
      <c r="C249" s="201" t="s">
        <v>389</v>
      </c>
      <c r="D249" s="201" t="s">
        <v>32</v>
      </c>
      <c r="E249" s="202">
        <v>25000000</v>
      </c>
      <c r="F249" s="202">
        <v>25000000</v>
      </c>
      <c r="G249" s="202">
        <v>12739390.449999999</v>
      </c>
      <c r="H249" s="202">
        <v>12739390.449999999</v>
      </c>
      <c r="I249" s="203">
        <v>0.50957561799999995</v>
      </c>
      <c r="J249" s="231"/>
    </row>
    <row r="250" spans="1:13" ht="75" outlineLevel="3" x14ac:dyDescent="0.25">
      <c r="A250" s="213" t="s">
        <v>390</v>
      </c>
      <c r="B250" s="214"/>
      <c r="C250" s="214" t="s">
        <v>391</v>
      </c>
      <c r="D250" s="214" t="s">
        <v>32</v>
      </c>
      <c r="E250" s="202">
        <v>2100366.66</v>
      </c>
      <c r="F250" s="202">
        <v>2100366.66</v>
      </c>
      <c r="G250" s="202">
        <v>0</v>
      </c>
      <c r="H250" s="202">
        <v>0</v>
      </c>
      <c r="I250" s="203">
        <v>0</v>
      </c>
      <c r="J250" s="231"/>
    </row>
    <row r="251" spans="1:13" ht="30" outlineLevel="4" x14ac:dyDescent="0.25">
      <c r="A251" s="213" t="s">
        <v>203</v>
      </c>
      <c r="B251" s="214" t="s">
        <v>204</v>
      </c>
      <c r="C251" s="214" t="s">
        <v>391</v>
      </c>
      <c r="D251" s="214" t="s">
        <v>32</v>
      </c>
      <c r="E251" s="202">
        <v>2100366.66</v>
      </c>
      <c r="F251" s="202">
        <v>2100366.66</v>
      </c>
      <c r="G251" s="202">
        <v>0</v>
      </c>
      <c r="H251" s="202">
        <v>0</v>
      </c>
      <c r="I251" s="203">
        <v>0</v>
      </c>
      <c r="J251" s="231"/>
    </row>
    <row r="252" spans="1:13" ht="105" outlineLevel="3" x14ac:dyDescent="0.25">
      <c r="A252" s="204" t="s">
        <v>392</v>
      </c>
      <c r="B252" s="201"/>
      <c r="C252" s="201" t="s">
        <v>393</v>
      </c>
      <c r="D252" s="201" t="s">
        <v>30</v>
      </c>
      <c r="E252" s="202">
        <v>2027030</v>
      </c>
      <c r="F252" s="202">
        <v>2027030</v>
      </c>
      <c r="G252" s="202">
        <v>1032923.55</v>
      </c>
      <c r="H252" s="202">
        <v>1032923.55</v>
      </c>
      <c r="I252" s="203">
        <v>0.50957487062352314</v>
      </c>
      <c r="J252" s="231"/>
    </row>
    <row r="253" spans="1:13" ht="30" outlineLevel="4" x14ac:dyDescent="0.25">
      <c r="A253" s="204" t="s">
        <v>203</v>
      </c>
      <c r="B253" s="201" t="s">
        <v>204</v>
      </c>
      <c r="C253" s="201" t="s">
        <v>393</v>
      </c>
      <c r="D253" s="201" t="s">
        <v>30</v>
      </c>
      <c r="E253" s="202">
        <v>2027030</v>
      </c>
      <c r="F253" s="202">
        <v>2027030</v>
      </c>
      <c r="G253" s="202">
        <v>1032923.55</v>
      </c>
      <c r="H253" s="202">
        <v>1032923.55</v>
      </c>
      <c r="I253" s="203">
        <v>0.50957487062352314</v>
      </c>
      <c r="J253" s="231"/>
    </row>
    <row r="254" spans="1:13" ht="90" outlineLevel="3" x14ac:dyDescent="0.25">
      <c r="A254" s="204" t="s">
        <v>394</v>
      </c>
      <c r="B254" s="201"/>
      <c r="C254" s="201" t="s">
        <v>395</v>
      </c>
      <c r="D254" s="201" t="s">
        <v>30</v>
      </c>
      <c r="E254" s="202">
        <v>170267.57</v>
      </c>
      <c r="F254" s="202">
        <v>170267.57</v>
      </c>
      <c r="G254" s="202">
        <v>0</v>
      </c>
      <c r="H254" s="202">
        <v>0</v>
      </c>
      <c r="I254" s="203">
        <v>0</v>
      </c>
      <c r="J254" s="231"/>
    </row>
    <row r="255" spans="1:13" ht="30" outlineLevel="4" x14ac:dyDescent="0.25">
      <c r="A255" s="204" t="s">
        <v>203</v>
      </c>
      <c r="B255" s="201" t="s">
        <v>204</v>
      </c>
      <c r="C255" s="201" t="s">
        <v>395</v>
      </c>
      <c r="D255" s="201" t="s">
        <v>30</v>
      </c>
      <c r="E255" s="202">
        <v>170267.57</v>
      </c>
      <c r="F255" s="202">
        <v>170267.57</v>
      </c>
      <c r="G255" s="202">
        <v>0</v>
      </c>
      <c r="H255" s="202">
        <v>0</v>
      </c>
      <c r="I255" s="203">
        <v>0</v>
      </c>
      <c r="J255" s="231"/>
    </row>
    <row r="256" spans="1:13" ht="45" outlineLevel="2" x14ac:dyDescent="0.25">
      <c r="A256" s="204" t="s">
        <v>396</v>
      </c>
      <c r="B256" s="201"/>
      <c r="C256" s="201"/>
      <c r="D256" s="201"/>
      <c r="E256" s="202">
        <v>1050520</v>
      </c>
      <c r="F256" s="202">
        <v>1050520</v>
      </c>
      <c r="G256" s="202">
        <v>348220</v>
      </c>
      <c r="H256" s="202">
        <v>348220</v>
      </c>
      <c r="I256" s="203">
        <v>0.33147393671705438</v>
      </c>
      <c r="J256" s="231"/>
    </row>
    <row r="257" spans="1:10" outlineLevel="3" x14ac:dyDescent="0.25">
      <c r="A257" s="204" t="s">
        <v>397</v>
      </c>
      <c r="B257" s="201"/>
      <c r="C257" s="201" t="s">
        <v>398</v>
      </c>
      <c r="D257" s="201" t="s">
        <v>30</v>
      </c>
      <c r="E257" s="202">
        <v>300000</v>
      </c>
      <c r="F257" s="202">
        <v>300000</v>
      </c>
      <c r="G257" s="202">
        <v>0</v>
      </c>
      <c r="H257" s="202">
        <v>0</v>
      </c>
      <c r="I257" s="203">
        <v>0</v>
      </c>
      <c r="J257" s="231"/>
    </row>
    <row r="258" spans="1:10" ht="45" outlineLevel="4" x14ac:dyDescent="0.25">
      <c r="A258" s="204" t="s">
        <v>262</v>
      </c>
      <c r="B258" s="201" t="s">
        <v>263</v>
      </c>
      <c r="C258" s="201" t="s">
        <v>398</v>
      </c>
      <c r="D258" s="201" t="s">
        <v>30</v>
      </c>
      <c r="E258" s="202">
        <v>300000</v>
      </c>
      <c r="F258" s="202">
        <v>300000</v>
      </c>
      <c r="G258" s="202">
        <v>0</v>
      </c>
      <c r="H258" s="202">
        <v>0</v>
      </c>
      <c r="I258" s="203">
        <v>0</v>
      </c>
      <c r="J258" s="231"/>
    </row>
    <row r="259" spans="1:10" ht="30" outlineLevel="3" x14ac:dyDescent="0.25">
      <c r="A259" s="204" t="s">
        <v>224</v>
      </c>
      <c r="B259" s="201"/>
      <c r="C259" s="201" t="s">
        <v>399</v>
      </c>
      <c r="D259" s="201" t="s">
        <v>30</v>
      </c>
      <c r="E259" s="202">
        <v>750520</v>
      </c>
      <c r="F259" s="202">
        <v>750520</v>
      </c>
      <c r="G259" s="202">
        <v>348220</v>
      </c>
      <c r="H259" s="202">
        <v>348220</v>
      </c>
      <c r="I259" s="203">
        <v>0.46397164632521454</v>
      </c>
      <c r="J259" s="231"/>
    </row>
    <row r="260" spans="1:10" ht="45" outlineLevel="4" x14ac:dyDescent="0.25">
      <c r="A260" s="204" t="s">
        <v>262</v>
      </c>
      <c r="B260" s="201" t="s">
        <v>263</v>
      </c>
      <c r="C260" s="201" t="s">
        <v>399</v>
      </c>
      <c r="D260" s="201" t="s">
        <v>30</v>
      </c>
      <c r="E260" s="202">
        <v>750520</v>
      </c>
      <c r="F260" s="202">
        <v>750520</v>
      </c>
      <c r="G260" s="202">
        <v>348220</v>
      </c>
      <c r="H260" s="202">
        <v>348220</v>
      </c>
      <c r="I260" s="203">
        <v>0.46397164632521454</v>
      </c>
      <c r="J260" s="231"/>
    </row>
    <row r="261" spans="1:10" outlineLevel="2" x14ac:dyDescent="0.25">
      <c r="A261" s="204" t="s">
        <v>400</v>
      </c>
      <c r="B261" s="201"/>
      <c r="C261" s="201"/>
      <c r="D261" s="201"/>
      <c r="E261" s="202">
        <v>20140677.559999999</v>
      </c>
      <c r="F261" s="202">
        <v>20140677.559999999</v>
      </c>
      <c r="G261" s="202">
        <v>14911686.859999999</v>
      </c>
      <c r="H261" s="202">
        <v>14911686.859999999</v>
      </c>
      <c r="I261" s="203">
        <v>0.74037662415166539</v>
      </c>
      <c r="J261" s="231"/>
    </row>
    <row r="262" spans="1:10" ht="60" outlineLevel="3" x14ac:dyDescent="0.25">
      <c r="A262" s="204" t="s">
        <v>201</v>
      </c>
      <c r="B262" s="201"/>
      <c r="C262" s="201" t="s">
        <v>401</v>
      </c>
      <c r="D262" s="201" t="s">
        <v>30</v>
      </c>
      <c r="E262" s="202">
        <v>18863826.350000001</v>
      </c>
      <c r="F262" s="202">
        <v>18863826.350000001</v>
      </c>
      <c r="G262" s="202">
        <v>13983696.01</v>
      </c>
      <c r="H262" s="202">
        <v>13983696.01</v>
      </c>
      <c r="I262" s="203">
        <v>0.74129690077432253</v>
      </c>
      <c r="J262" s="231"/>
    </row>
    <row r="263" spans="1:10" ht="45" outlineLevel="4" x14ac:dyDescent="0.25">
      <c r="A263" s="204" t="s">
        <v>262</v>
      </c>
      <c r="B263" s="201" t="s">
        <v>263</v>
      </c>
      <c r="C263" s="201" t="s">
        <v>401</v>
      </c>
      <c r="D263" s="201" t="s">
        <v>30</v>
      </c>
      <c r="E263" s="202">
        <v>18863826.350000001</v>
      </c>
      <c r="F263" s="202">
        <v>18863826.350000001</v>
      </c>
      <c r="G263" s="202">
        <v>13983696.01</v>
      </c>
      <c r="H263" s="202">
        <v>13983696.01</v>
      </c>
      <c r="I263" s="203">
        <v>0.74129690077432253</v>
      </c>
      <c r="J263" s="231"/>
    </row>
    <row r="264" spans="1:10" ht="75" outlineLevel="3" x14ac:dyDescent="0.25">
      <c r="A264" s="204" t="s">
        <v>205</v>
      </c>
      <c r="B264" s="201"/>
      <c r="C264" s="201" t="s">
        <v>402</v>
      </c>
      <c r="D264" s="201" t="s">
        <v>30</v>
      </c>
      <c r="E264" s="202">
        <v>200000</v>
      </c>
      <c r="F264" s="202">
        <v>200000</v>
      </c>
      <c r="G264" s="202">
        <v>191752.11</v>
      </c>
      <c r="H264" s="202">
        <v>191752.11</v>
      </c>
      <c r="I264" s="203">
        <v>0.95876055000000004</v>
      </c>
      <c r="J264" s="231"/>
    </row>
    <row r="265" spans="1:10" ht="45" outlineLevel="4" x14ac:dyDescent="0.25">
      <c r="A265" s="204" t="s">
        <v>262</v>
      </c>
      <c r="B265" s="201" t="s">
        <v>263</v>
      </c>
      <c r="C265" s="201" t="s">
        <v>402</v>
      </c>
      <c r="D265" s="201" t="s">
        <v>30</v>
      </c>
      <c r="E265" s="202">
        <v>200000</v>
      </c>
      <c r="F265" s="202">
        <v>200000</v>
      </c>
      <c r="G265" s="202">
        <v>191752.11</v>
      </c>
      <c r="H265" s="202">
        <v>191752.11</v>
      </c>
      <c r="I265" s="203">
        <v>0.95876055000000004</v>
      </c>
      <c r="J265" s="231"/>
    </row>
    <row r="266" spans="1:10" ht="75" outlineLevel="3" x14ac:dyDescent="0.25">
      <c r="A266" s="204" t="s">
        <v>207</v>
      </c>
      <c r="B266" s="201"/>
      <c r="C266" s="201" t="s">
        <v>403</v>
      </c>
      <c r="D266" s="201" t="s">
        <v>30</v>
      </c>
      <c r="E266" s="202">
        <v>20000</v>
      </c>
      <c r="F266" s="202">
        <v>20000</v>
      </c>
      <c r="G266" s="202">
        <v>12706</v>
      </c>
      <c r="H266" s="202">
        <v>12706</v>
      </c>
      <c r="I266" s="203">
        <v>0.63529999999999998</v>
      </c>
      <c r="J266" s="231"/>
    </row>
    <row r="267" spans="1:10" ht="45" outlineLevel="4" x14ac:dyDescent="0.25">
      <c r="A267" s="204" t="s">
        <v>262</v>
      </c>
      <c r="B267" s="201" t="s">
        <v>263</v>
      </c>
      <c r="C267" s="201" t="s">
        <v>403</v>
      </c>
      <c r="D267" s="201" t="s">
        <v>30</v>
      </c>
      <c r="E267" s="202">
        <v>20000</v>
      </c>
      <c r="F267" s="202">
        <v>20000</v>
      </c>
      <c r="G267" s="202">
        <v>12706</v>
      </c>
      <c r="H267" s="202">
        <v>12706</v>
      </c>
      <c r="I267" s="203">
        <v>0.63529999999999998</v>
      </c>
      <c r="J267" s="231"/>
    </row>
    <row r="268" spans="1:10" ht="75" outlineLevel="3" x14ac:dyDescent="0.25">
      <c r="A268" s="204" t="s">
        <v>209</v>
      </c>
      <c r="B268" s="201"/>
      <c r="C268" s="201" t="s">
        <v>404</v>
      </c>
      <c r="D268" s="201" t="s">
        <v>32</v>
      </c>
      <c r="E268" s="202">
        <v>604523</v>
      </c>
      <c r="F268" s="202">
        <v>604523</v>
      </c>
      <c r="G268" s="202">
        <v>453392.27</v>
      </c>
      <c r="H268" s="202">
        <v>453392.27</v>
      </c>
      <c r="I268" s="203">
        <v>0.75000003308393559</v>
      </c>
      <c r="J268" s="231"/>
    </row>
    <row r="269" spans="1:10" ht="45" outlineLevel="4" x14ac:dyDescent="0.25">
      <c r="A269" s="204" t="s">
        <v>262</v>
      </c>
      <c r="B269" s="201" t="s">
        <v>263</v>
      </c>
      <c r="C269" s="201" t="s">
        <v>404</v>
      </c>
      <c r="D269" s="201" t="s">
        <v>32</v>
      </c>
      <c r="E269" s="202">
        <v>604523</v>
      </c>
      <c r="F269" s="202">
        <v>604523</v>
      </c>
      <c r="G269" s="202">
        <v>453392.27</v>
      </c>
      <c r="H269" s="202">
        <v>453392.27</v>
      </c>
      <c r="I269" s="203">
        <v>0.75000003308393559</v>
      </c>
      <c r="J269" s="231"/>
    </row>
    <row r="270" spans="1:10" ht="105" outlineLevel="3" x14ac:dyDescent="0.25">
      <c r="A270" s="204" t="s">
        <v>217</v>
      </c>
      <c r="B270" s="201"/>
      <c r="C270" s="201" t="s">
        <v>405</v>
      </c>
      <c r="D270" s="201" t="s">
        <v>30</v>
      </c>
      <c r="E270" s="202">
        <v>49015.38</v>
      </c>
      <c r="F270" s="202">
        <v>49015.38</v>
      </c>
      <c r="G270" s="202">
        <v>29273.09</v>
      </c>
      <c r="H270" s="202">
        <v>29273.09</v>
      </c>
      <c r="I270" s="203">
        <v>0.59722254525008278</v>
      </c>
      <c r="J270" s="231"/>
    </row>
    <row r="271" spans="1:10" ht="45" outlineLevel="4" x14ac:dyDescent="0.25">
      <c r="A271" s="204" t="s">
        <v>262</v>
      </c>
      <c r="B271" s="201" t="s">
        <v>263</v>
      </c>
      <c r="C271" s="201" t="s">
        <v>405</v>
      </c>
      <c r="D271" s="201" t="s">
        <v>30</v>
      </c>
      <c r="E271" s="202">
        <v>49015.38</v>
      </c>
      <c r="F271" s="202">
        <v>49015.38</v>
      </c>
      <c r="G271" s="202">
        <v>29273.09</v>
      </c>
      <c r="H271" s="202">
        <v>29273.09</v>
      </c>
      <c r="I271" s="203">
        <v>0.59722254525008278</v>
      </c>
      <c r="J271" s="231"/>
    </row>
    <row r="272" spans="1:10" ht="150" outlineLevel="3" x14ac:dyDescent="0.25">
      <c r="A272" s="204" t="s">
        <v>219</v>
      </c>
      <c r="B272" s="201"/>
      <c r="C272" s="201" t="s">
        <v>406</v>
      </c>
      <c r="D272" s="201" t="s">
        <v>30</v>
      </c>
      <c r="E272" s="202">
        <v>403312.83</v>
      </c>
      <c r="F272" s="202">
        <v>403312.83</v>
      </c>
      <c r="G272" s="202">
        <v>240867.38</v>
      </c>
      <c r="H272" s="202">
        <v>240867.38</v>
      </c>
      <c r="I272" s="203">
        <v>0.5972222108580082</v>
      </c>
      <c r="J272" s="231"/>
    </row>
    <row r="273" spans="1:13" ht="45" outlineLevel="4" x14ac:dyDescent="0.25">
      <c r="A273" s="204" t="s">
        <v>262</v>
      </c>
      <c r="B273" s="201" t="s">
        <v>263</v>
      </c>
      <c r="C273" s="201" t="s">
        <v>406</v>
      </c>
      <c r="D273" s="201" t="s">
        <v>30</v>
      </c>
      <c r="E273" s="202">
        <v>403312.83</v>
      </c>
      <c r="F273" s="202">
        <v>403312.83</v>
      </c>
      <c r="G273" s="202">
        <v>240867.38</v>
      </c>
      <c r="H273" s="202">
        <v>240867.38</v>
      </c>
      <c r="I273" s="203">
        <v>0.5972222108580082</v>
      </c>
      <c r="J273" s="231"/>
    </row>
    <row r="274" spans="1:13" outlineLevel="1" x14ac:dyDescent="0.25">
      <c r="A274" s="200" t="s">
        <v>407</v>
      </c>
      <c r="B274" s="201"/>
      <c r="C274" s="201"/>
      <c r="D274" s="201"/>
      <c r="E274" s="202">
        <v>222157692.91999999</v>
      </c>
      <c r="F274" s="202">
        <v>222157692.63999999</v>
      </c>
      <c r="G274" s="202">
        <v>164925128.84999999</v>
      </c>
      <c r="H274" s="202">
        <v>164881533.49000001</v>
      </c>
      <c r="I274" s="203">
        <v>0.74237865311911699</v>
      </c>
      <c r="J274" s="231"/>
    </row>
    <row r="275" spans="1:13" ht="45" outlineLevel="2" x14ac:dyDescent="0.25">
      <c r="A275" s="204" t="s">
        <v>408</v>
      </c>
      <c r="B275" s="201"/>
      <c r="C275" s="201"/>
      <c r="D275" s="201"/>
      <c r="E275" s="202">
        <v>124830477.94</v>
      </c>
      <c r="F275" s="202">
        <v>124830477.94</v>
      </c>
      <c r="G275" s="202">
        <v>91601536.859999999</v>
      </c>
      <c r="H275" s="202">
        <v>91557941.5</v>
      </c>
      <c r="I275" s="203">
        <v>0.7338074673080115</v>
      </c>
      <c r="J275" s="231"/>
    </row>
    <row r="276" spans="1:13" ht="60" outlineLevel="3" x14ac:dyDescent="0.25">
      <c r="A276" s="204" t="s">
        <v>201</v>
      </c>
      <c r="B276" s="201"/>
      <c r="C276" s="201" t="s">
        <v>409</v>
      </c>
      <c r="D276" s="201" t="s">
        <v>30</v>
      </c>
      <c r="E276" s="202">
        <v>16400480.630000001</v>
      </c>
      <c r="F276" s="202">
        <v>16400480.630000001</v>
      </c>
      <c r="G276" s="202">
        <v>11479045.310000001</v>
      </c>
      <c r="H276" s="202">
        <v>11479045.310000001</v>
      </c>
      <c r="I276" s="203">
        <v>0.69992127480717614</v>
      </c>
      <c r="J276" s="231"/>
    </row>
    <row r="277" spans="1:13" ht="45" outlineLevel="4" x14ac:dyDescent="0.25">
      <c r="A277" s="204" t="s">
        <v>262</v>
      </c>
      <c r="B277" s="201" t="s">
        <v>263</v>
      </c>
      <c r="C277" s="201" t="s">
        <v>409</v>
      </c>
      <c r="D277" s="201" t="s">
        <v>30</v>
      </c>
      <c r="E277" s="202">
        <v>16400480.630000001</v>
      </c>
      <c r="F277" s="202">
        <v>16400480.630000001</v>
      </c>
      <c r="G277" s="202">
        <v>11479045.310000001</v>
      </c>
      <c r="H277" s="202">
        <v>11479045.310000001</v>
      </c>
      <c r="I277" s="203">
        <v>0.69992127480717614</v>
      </c>
      <c r="J277" s="231"/>
    </row>
    <row r="278" spans="1:13" ht="75" outlineLevel="3" x14ac:dyDescent="0.25">
      <c r="A278" s="204" t="s">
        <v>205</v>
      </c>
      <c r="B278" s="201"/>
      <c r="C278" s="201" t="s">
        <v>410</v>
      </c>
      <c r="D278" s="201" t="s">
        <v>30</v>
      </c>
      <c r="E278" s="202">
        <v>1000000</v>
      </c>
      <c r="F278" s="202">
        <v>1000000</v>
      </c>
      <c r="G278" s="202">
        <v>1000000</v>
      </c>
      <c r="H278" s="202">
        <v>1000000</v>
      </c>
      <c r="I278" s="203">
        <v>1</v>
      </c>
      <c r="J278" s="231"/>
      <c r="K278" s="232" t="s">
        <v>3</v>
      </c>
      <c r="L278" s="233">
        <f>E284+E286+E299+E301+E314+E325+E330</f>
        <v>40232295.5</v>
      </c>
      <c r="M278" s="233">
        <f>H284+H286+H299+H301+H315+H325+H330</f>
        <v>30702602.41</v>
      </c>
    </row>
    <row r="279" spans="1:13" ht="45" outlineLevel="4" x14ac:dyDescent="0.25">
      <c r="A279" s="204" t="s">
        <v>262</v>
      </c>
      <c r="B279" s="201" t="s">
        <v>263</v>
      </c>
      <c r="C279" s="201" t="s">
        <v>410</v>
      </c>
      <c r="D279" s="201" t="s">
        <v>30</v>
      </c>
      <c r="E279" s="202">
        <v>1000000</v>
      </c>
      <c r="F279" s="202">
        <v>1000000</v>
      </c>
      <c r="G279" s="202">
        <v>1000000</v>
      </c>
      <c r="H279" s="202">
        <v>1000000</v>
      </c>
      <c r="I279" s="203">
        <v>1</v>
      </c>
      <c r="J279" s="231"/>
    </row>
    <row r="280" spans="1:13" ht="75" outlineLevel="3" x14ac:dyDescent="0.25">
      <c r="A280" s="204" t="s">
        <v>207</v>
      </c>
      <c r="B280" s="201"/>
      <c r="C280" s="201" t="s">
        <v>411</v>
      </c>
      <c r="D280" s="201" t="s">
        <v>30</v>
      </c>
      <c r="E280" s="202">
        <v>138900</v>
      </c>
      <c r="F280" s="202">
        <v>138900</v>
      </c>
      <c r="G280" s="202">
        <v>104450</v>
      </c>
      <c r="H280" s="202">
        <v>104450</v>
      </c>
      <c r="I280" s="203">
        <v>0.75197984161267095</v>
      </c>
      <c r="J280" s="231"/>
    </row>
    <row r="281" spans="1:13" ht="45" outlineLevel="4" x14ac:dyDescent="0.25">
      <c r="A281" s="204" t="s">
        <v>262</v>
      </c>
      <c r="B281" s="201" t="s">
        <v>263</v>
      </c>
      <c r="C281" s="201" t="s">
        <v>411</v>
      </c>
      <c r="D281" s="201" t="s">
        <v>30</v>
      </c>
      <c r="E281" s="202">
        <v>138900</v>
      </c>
      <c r="F281" s="202">
        <v>138900</v>
      </c>
      <c r="G281" s="202">
        <v>104450</v>
      </c>
      <c r="H281" s="202">
        <v>104450</v>
      </c>
      <c r="I281" s="203">
        <v>0.75197984161267095</v>
      </c>
      <c r="J281" s="231"/>
    </row>
    <row r="282" spans="1:13" ht="30" outlineLevel="3" x14ac:dyDescent="0.25">
      <c r="A282" s="204" t="s">
        <v>224</v>
      </c>
      <c r="B282" s="201"/>
      <c r="C282" s="201" t="s">
        <v>412</v>
      </c>
      <c r="D282" s="201" t="s">
        <v>30</v>
      </c>
      <c r="E282" s="202">
        <v>2700000</v>
      </c>
      <c r="F282" s="202">
        <v>2700000</v>
      </c>
      <c r="G282" s="202">
        <v>970538.25</v>
      </c>
      <c r="H282" s="202">
        <v>926942.89</v>
      </c>
      <c r="I282" s="203">
        <v>0.3594586111111111</v>
      </c>
      <c r="J282" s="231"/>
    </row>
    <row r="283" spans="1:13" ht="45" outlineLevel="4" x14ac:dyDescent="0.25">
      <c r="A283" s="204" t="s">
        <v>262</v>
      </c>
      <c r="B283" s="201" t="s">
        <v>263</v>
      </c>
      <c r="C283" s="201" t="s">
        <v>412</v>
      </c>
      <c r="D283" s="201" t="s">
        <v>30</v>
      </c>
      <c r="E283" s="202">
        <v>2700000</v>
      </c>
      <c r="F283" s="202">
        <v>2700000</v>
      </c>
      <c r="G283" s="202">
        <v>970538.25</v>
      </c>
      <c r="H283" s="202">
        <v>926942.89</v>
      </c>
      <c r="I283" s="203">
        <v>0.3594586111111111</v>
      </c>
      <c r="J283" s="231"/>
    </row>
    <row r="284" spans="1:13" ht="75" outlineLevel="3" x14ac:dyDescent="0.25">
      <c r="A284" s="204" t="s">
        <v>209</v>
      </c>
      <c r="B284" s="201"/>
      <c r="C284" s="201" t="s">
        <v>413</v>
      </c>
      <c r="D284" s="201" t="s">
        <v>32</v>
      </c>
      <c r="E284" s="202">
        <v>23743390.739999998</v>
      </c>
      <c r="F284" s="202">
        <v>23743390.739999998</v>
      </c>
      <c r="G284" s="202">
        <v>17807542.940000001</v>
      </c>
      <c r="H284" s="202">
        <v>17807542.940000001</v>
      </c>
      <c r="I284" s="203">
        <v>0.74999999515654692</v>
      </c>
      <c r="J284" s="231"/>
    </row>
    <row r="285" spans="1:13" ht="45" outlineLevel="4" x14ac:dyDescent="0.25">
      <c r="A285" s="204" t="s">
        <v>262</v>
      </c>
      <c r="B285" s="201" t="s">
        <v>263</v>
      </c>
      <c r="C285" s="201" t="s">
        <v>413</v>
      </c>
      <c r="D285" s="201" t="s">
        <v>32</v>
      </c>
      <c r="E285" s="202">
        <v>23743390.739999998</v>
      </c>
      <c r="F285" s="202">
        <v>23743390.739999998</v>
      </c>
      <c r="G285" s="202">
        <v>17807542.940000001</v>
      </c>
      <c r="H285" s="202">
        <v>17807542.940000001</v>
      </c>
      <c r="I285" s="203">
        <v>0.74999999515654692</v>
      </c>
      <c r="J285" s="231"/>
    </row>
    <row r="286" spans="1:13" ht="255" outlineLevel="3" x14ac:dyDescent="0.25">
      <c r="A286" s="204" t="s">
        <v>238</v>
      </c>
      <c r="B286" s="201"/>
      <c r="C286" s="201" t="s">
        <v>414</v>
      </c>
      <c r="D286" s="201" t="s">
        <v>32</v>
      </c>
      <c r="E286" s="202">
        <v>374505</v>
      </c>
      <c r="F286" s="202">
        <v>374505</v>
      </c>
      <c r="G286" s="202">
        <v>218000</v>
      </c>
      <c r="H286" s="202">
        <v>218000</v>
      </c>
      <c r="I286" s="203">
        <v>0.58210170758734858</v>
      </c>
      <c r="J286" s="231"/>
    </row>
    <row r="287" spans="1:13" ht="45" outlineLevel="4" x14ac:dyDescent="0.25">
      <c r="A287" s="204" t="s">
        <v>262</v>
      </c>
      <c r="B287" s="201" t="s">
        <v>263</v>
      </c>
      <c r="C287" s="201" t="s">
        <v>414</v>
      </c>
      <c r="D287" s="201" t="s">
        <v>32</v>
      </c>
      <c r="E287" s="202">
        <v>374505</v>
      </c>
      <c r="F287" s="202">
        <v>374505</v>
      </c>
      <c r="G287" s="202">
        <v>218000</v>
      </c>
      <c r="H287" s="202">
        <v>218000</v>
      </c>
      <c r="I287" s="203">
        <v>0.58210170758734858</v>
      </c>
      <c r="J287" s="231"/>
    </row>
    <row r="288" spans="1:13" ht="105" outlineLevel="3" x14ac:dyDescent="0.25">
      <c r="A288" s="204" t="s">
        <v>217</v>
      </c>
      <c r="B288" s="201"/>
      <c r="C288" s="201" t="s">
        <v>415</v>
      </c>
      <c r="D288" s="201" t="s">
        <v>30</v>
      </c>
      <c r="E288" s="202">
        <v>1925139.79</v>
      </c>
      <c r="F288" s="202">
        <v>1925139.79</v>
      </c>
      <c r="G288" s="202">
        <v>1443854.6</v>
      </c>
      <c r="H288" s="202">
        <v>1443854.6</v>
      </c>
      <c r="I288" s="203">
        <v>0.74999987403512136</v>
      </c>
      <c r="J288" s="231"/>
    </row>
    <row r="289" spans="1:10" ht="45" outlineLevel="4" x14ac:dyDescent="0.25">
      <c r="A289" s="204" t="s">
        <v>262</v>
      </c>
      <c r="B289" s="201" t="s">
        <v>263</v>
      </c>
      <c r="C289" s="201" t="s">
        <v>415</v>
      </c>
      <c r="D289" s="201" t="s">
        <v>30</v>
      </c>
      <c r="E289" s="202">
        <v>1925139.79</v>
      </c>
      <c r="F289" s="202">
        <v>1925139.79</v>
      </c>
      <c r="G289" s="202">
        <v>1443854.6</v>
      </c>
      <c r="H289" s="202">
        <v>1443854.6</v>
      </c>
      <c r="I289" s="203">
        <v>0.74999987403512136</v>
      </c>
      <c r="J289" s="231"/>
    </row>
    <row r="290" spans="1:10" ht="150" outlineLevel="3" x14ac:dyDescent="0.25">
      <c r="A290" s="204" t="s">
        <v>219</v>
      </c>
      <c r="B290" s="201"/>
      <c r="C290" s="201" t="s">
        <v>416</v>
      </c>
      <c r="D290" s="201" t="s">
        <v>30</v>
      </c>
      <c r="E290" s="202">
        <v>78548061.780000001</v>
      </c>
      <c r="F290" s="202">
        <v>78548061.780000001</v>
      </c>
      <c r="G290" s="202">
        <v>58578105.759999998</v>
      </c>
      <c r="H290" s="202">
        <v>58578105.759999998</v>
      </c>
      <c r="I290" s="203">
        <v>0.74576131393372236</v>
      </c>
      <c r="J290" s="231"/>
    </row>
    <row r="291" spans="1:10" ht="45" outlineLevel="4" x14ac:dyDescent="0.25">
      <c r="A291" s="204" t="s">
        <v>262</v>
      </c>
      <c r="B291" s="201" t="s">
        <v>263</v>
      </c>
      <c r="C291" s="201" t="s">
        <v>416</v>
      </c>
      <c r="D291" s="201" t="s">
        <v>30</v>
      </c>
      <c r="E291" s="202">
        <v>78548061.780000001</v>
      </c>
      <c r="F291" s="202">
        <v>78548061.780000001</v>
      </c>
      <c r="G291" s="202">
        <v>58578105.759999998</v>
      </c>
      <c r="H291" s="202">
        <v>58578105.759999998</v>
      </c>
      <c r="I291" s="203">
        <v>0.74576131393372236</v>
      </c>
      <c r="J291" s="231"/>
    </row>
    <row r="292" spans="1:10" ht="30" outlineLevel="2" x14ac:dyDescent="0.25">
      <c r="A292" s="204" t="s">
        <v>417</v>
      </c>
      <c r="B292" s="201"/>
      <c r="C292" s="201"/>
      <c r="D292" s="201"/>
      <c r="E292" s="202">
        <v>66931515.399999999</v>
      </c>
      <c r="F292" s="202">
        <v>66931515.399999999</v>
      </c>
      <c r="G292" s="202">
        <v>48615702.549999997</v>
      </c>
      <c r="H292" s="202">
        <v>48615702.549999997</v>
      </c>
      <c r="I292" s="203">
        <v>0.72634994530543684</v>
      </c>
      <c r="J292" s="231"/>
    </row>
    <row r="293" spans="1:10" ht="60" outlineLevel="3" x14ac:dyDescent="0.25">
      <c r="A293" s="204" t="s">
        <v>201</v>
      </c>
      <c r="B293" s="201"/>
      <c r="C293" s="201" t="s">
        <v>418</v>
      </c>
      <c r="D293" s="201" t="s">
        <v>30</v>
      </c>
      <c r="E293" s="202">
        <v>8181319.3700000001</v>
      </c>
      <c r="F293" s="202">
        <v>8181319.3700000001</v>
      </c>
      <c r="G293" s="202">
        <v>5650000</v>
      </c>
      <c r="H293" s="202">
        <v>5650000</v>
      </c>
      <c r="I293" s="203">
        <v>0.6905976584556679</v>
      </c>
      <c r="J293" s="231"/>
    </row>
    <row r="294" spans="1:10" ht="45" outlineLevel="4" x14ac:dyDescent="0.25">
      <c r="A294" s="204" t="s">
        <v>262</v>
      </c>
      <c r="B294" s="201" t="s">
        <v>263</v>
      </c>
      <c r="C294" s="201" t="s">
        <v>418</v>
      </c>
      <c r="D294" s="201" t="s">
        <v>30</v>
      </c>
      <c r="E294" s="202">
        <v>8181319.3700000001</v>
      </c>
      <c r="F294" s="202">
        <v>8181319.3700000001</v>
      </c>
      <c r="G294" s="202">
        <v>5650000</v>
      </c>
      <c r="H294" s="202">
        <v>5650000</v>
      </c>
      <c r="I294" s="203">
        <v>0.6905976584556679</v>
      </c>
      <c r="J294" s="231"/>
    </row>
    <row r="295" spans="1:10" ht="75" outlineLevel="3" x14ac:dyDescent="0.25">
      <c r="A295" s="204" t="s">
        <v>205</v>
      </c>
      <c r="B295" s="201"/>
      <c r="C295" s="201" t="s">
        <v>419</v>
      </c>
      <c r="D295" s="201" t="s">
        <v>30</v>
      </c>
      <c r="E295" s="202">
        <v>700000</v>
      </c>
      <c r="F295" s="202">
        <v>700000</v>
      </c>
      <c r="G295" s="202">
        <v>700000</v>
      </c>
      <c r="H295" s="202">
        <v>700000</v>
      </c>
      <c r="I295" s="203">
        <v>1</v>
      </c>
      <c r="J295" s="231"/>
    </row>
    <row r="296" spans="1:10" ht="45" outlineLevel="4" x14ac:dyDescent="0.25">
      <c r="A296" s="204" t="s">
        <v>262</v>
      </c>
      <c r="B296" s="201" t="s">
        <v>263</v>
      </c>
      <c r="C296" s="201" t="s">
        <v>419</v>
      </c>
      <c r="D296" s="201" t="s">
        <v>30</v>
      </c>
      <c r="E296" s="202">
        <v>700000</v>
      </c>
      <c r="F296" s="202">
        <v>700000</v>
      </c>
      <c r="G296" s="202">
        <v>700000</v>
      </c>
      <c r="H296" s="202">
        <v>700000</v>
      </c>
      <c r="I296" s="203">
        <v>1</v>
      </c>
      <c r="J296" s="231"/>
    </row>
    <row r="297" spans="1:10" ht="75" outlineLevel="3" x14ac:dyDescent="0.25">
      <c r="A297" s="204" t="s">
        <v>207</v>
      </c>
      <c r="B297" s="201"/>
      <c r="C297" s="201" t="s">
        <v>420</v>
      </c>
      <c r="D297" s="201" t="s">
        <v>30</v>
      </c>
      <c r="E297" s="202">
        <v>22000</v>
      </c>
      <c r="F297" s="202">
        <v>22000</v>
      </c>
      <c r="G297" s="202">
        <v>22000</v>
      </c>
      <c r="H297" s="202">
        <v>22000</v>
      </c>
      <c r="I297" s="203">
        <v>1</v>
      </c>
      <c r="J297" s="231"/>
    </row>
    <row r="298" spans="1:10" ht="45" outlineLevel="4" x14ac:dyDescent="0.25">
      <c r="A298" s="204" t="s">
        <v>262</v>
      </c>
      <c r="B298" s="201" t="s">
        <v>263</v>
      </c>
      <c r="C298" s="201" t="s">
        <v>420</v>
      </c>
      <c r="D298" s="201" t="s">
        <v>30</v>
      </c>
      <c r="E298" s="202">
        <v>22000</v>
      </c>
      <c r="F298" s="202">
        <v>22000</v>
      </c>
      <c r="G298" s="202">
        <v>22000</v>
      </c>
      <c r="H298" s="202">
        <v>22000</v>
      </c>
      <c r="I298" s="203">
        <v>1</v>
      </c>
      <c r="J298" s="231"/>
    </row>
    <row r="299" spans="1:10" ht="75" outlineLevel="3" x14ac:dyDescent="0.25">
      <c r="A299" s="204" t="s">
        <v>209</v>
      </c>
      <c r="B299" s="201"/>
      <c r="C299" s="201" t="s">
        <v>421</v>
      </c>
      <c r="D299" s="201" t="s">
        <v>32</v>
      </c>
      <c r="E299" s="202">
        <v>9552703.8699999992</v>
      </c>
      <c r="F299" s="202">
        <v>9552703.8699999992</v>
      </c>
      <c r="G299" s="202">
        <v>7164527.9299999997</v>
      </c>
      <c r="H299" s="202">
        <v>7164527.9299999997</v>
      </c>
      <c r="I299" s="203">
        <v>0.75000000287876611</v>
      </c>
      <c r="J299" s="231"/>
    </row>
    <row r="300" spans="1:10" ht="45" outlineLevel="4" x14ac:dyDescent="0.25">
      <c r="A300" s="204" t="s">
        <v>262</v>
      </c>
      <c r="B300" s="201" t="s">
        <v>263</v>
      </c>
      <c r="C300" s="201" t="s">
        <v>421</v>
      </c>
      <c r="D300" s="201" t="s">
        <v>32</v>
      </c>
      <c r="E300" s="202">
        <v>9552703.8699999992</v>
      </c>
      <c r="F300" s="202">
        <v>9552703.8699999992</v>
      </c>
      <c r="G300" s="202">
        <v>7164527.9299999997</v>
      </c>
      <c r="H300" s="202">
        <v>7164527.9299999997</v>
      </c>
      <c r="I300" s="203">
        <v>0.75000000287876611</v>
      </c>
      <c r="J300" s="231"/>
    </row>
    <row r="301" spans="1:10" ht="255" outlineLevel="3" x14ac:dyDescent="0.25">
      <c r="A301" s="204" t="s">
        <v>238</v>
      </c>
      <c r="B301" s="201"/>
      <c r="C301" s="201" t="s">
        <v>422</v>
      </c>
      <c r="D301" s="201" t="s">
        <v>32</v>
      </c>
      <c r="E301" s="202">
        <v>186695</v>
      </c>
      <c r="F301" s="202">
        <v>186695</v>
      </c>
      <c r="G301" s="202">
        <v>69743.320000000007</v>
      </c>
      <c r="H301" s="202">
        <v>69743.320000000007</v>
      </c>
      <c r="I301" s="203">
        <v>0.37356822625137254</v>
      </c>
      <c r="J301" s="231"/>
    </row>
    <row r="302" spans="1:10" ht="45" outlineLevel="4" x14ac:dyDescent="0.25">
      <c r="A302" s="204" t="s">
        <v>262</v>
      </c>
      <c r="B302" s="201" t="s">
        <v>263</v>
      </c>
      <c r="C302" s="201" t="s">
        <v>422</v>
      </c>
      <c r="D302" s="201" t="s">
        <v>32</v>
      </c>
      <c r="E302" s="202">
        <v>186695</v>
      </c>
      <c r="F302" s="202">
        <v>186695</v>
      </c>
      <c r="G302" s="202">
        <v>69743.320000000007</v>
      </c>
      <c r="H302" s="202">
        <v>69743.320000000007</v>
      </c>
      <c r="I302" s="203">
        <v>0.37356822625137254</v>
      </c>
      <c r="J302" s="231"/>
    </row>
    <row r="303" spans="1:10" ht="105" outlineLevel="3" x14ac:dyDescent="0.25">
      <c r="A303" s="204" t="s">
        <v>217</v>
      </c>
      <c r="B303" s="201"/>
      <c r="C303" s="201" t="s">
        <v>423</v>
      </c>
      <c r="D303" s="201" t="s">
        <v>30</v>
      </c>
      <c r="E303" s="202">
        <v>774543.56</v>
      </c>
      <c r="F303" s="202">
        <v>774543.56</v>
      </c>
      <c r="G303" s="202">
        <v>580907.69999999995</v>
      </c>
      <c r="H303" s="202">
        <v>580907.69999999995</v>
      </c>
      <c r="I303" s="203">
        <v>0.7500000387324891</v>
      </c>
      <c r="J303" s="231"/>
    </row>
    <row r="304" spans="1:10" ht="45" outlineLevel="4" x14ac:dyDescent="0.25">
      <c r="A304" s="204" t="s">
        <v>262</v>
      </c>
      <c r="B304" s="201" t="s">
        <v>263</v>
      </c>
      <c r="C304" s="201" t="s">
        <v>423</v>
      </c>
      <c r="D304" s="201" t="s">
        <v>30</v>
      </c>
      <c r="E304" s="202">
        <v>774543.56</v>
      </c>
      <c r="F304" s="202">
        <v>774543.56</v>
      </c>
      <c r="G304" s="202">
        <v>580907.69999999995</v>
      </c>
      <c r="H304" s="202">
        <v>580907.69999999995</v>
      </c>
      <c r="I304" s="203">
        <v>0.7500000387324891</v>
      </c>
      <c r="J304" s="231"/>
    </row>
    <row r="305" spans="1:10" ht="150" outlineLevel="3" x14ac:dyDescent="0.25">
      <c r="A305" s="204" t="s">
        <v>219</v>
      </c>
      <c r="B305" s="201"/>
      <c r="C305" s="201" t="s">
        <v>424</v>
      </c>
      <c r="D305" s="201" t="s">
        <v>30</v>
      </c>
      <c r="E305" s="202">
        <v>47514253.600000001</v>
      </c>
      <c r="F305" s="202">
        <v>47514253.600000001</v>
      </c>
      <c r="G305" s="202">
        <v>34428523.600000001</v>
      </c>
      <c r="H305" s="202">
        <v>34428523.600000001</v>
      </c>
      <c r="I305" s="203">
        <v>0.7245935901642786</v>
      </c>
      <c r="J305" s="231"/>
    </row>
    <row r="306" spans="1:10" ht="45" outlineLevel="4" x14ac:dyDescent="0.25">
      <c r="A306" s="204" t="s">
        <v>262</v>
      </c>
      <c r="B306" s="201" t="s">
        <v>263</v>
      </c>
      <c r="C306" s="201" t="s">
        <v>424</v>
      </c>
      <c r="D306" s="201" t="s">
        <v>30</v>
      </c>
      <c r="E306" s="202">
        <v>47514253.600000001</v>
      </c>
      <c r="F306" s="202">
        <v>47514253.600000001</v>
      </c>
      <c r="G306" s="202">
        <v>34428523.600000001</v>
      </c>
      <c r="H306" s="202">
        <v>34428523.600000001</v>
      </c>
      <c r="I306" s="203">
        <v>0.7245935901642786</v>
      </c>
      <c r="J306" s="231"/>
    </row>
    <row r="307" spans="1:10" ht="30" outlineLevel="2" x14ac:dyDescent="0.25">
      <c r="A307" s="204" t="s">
        <v>425</v>
      </c>
      <c r="B307" s="201"/>
      <c r="C307" s="201"/>
      <c r="D307" s="201"/>
      <c r="E307" s="202">
        <v>20810775.34</v>
      </c>
      <c r="F307" s="202">
        <v>20810775.34</v>
      </c>
      <c r="G307" s="202">
        <v>15126343.5</v>
      </c>
      <c r="H307" s="202">
        <v>15126343.5</v>
      </c>
      <c r="I307" s="203">
        <v>0.72685151095384415</v>
      </c>
      <c r="J307" s="231"/>
    </row>
    <row r="308" spans="1:10" ht="60" outlineLevel="3" x14ac:dyDescent="0.25">
      <c r="A308" s="204" t="s">
        <v>201</v>
      </c>
      <c r="B308" s="201"/>
      <c r="C308" s="201" t="s">
        <v>426</v>
      </c>
      <c r="D308" s="201" t="s">
        <v>30</v>
      </c>
      <c r="E308" s="202">
        <v>2436424.5499999998</v>
      </c>
      <c r="F308" s="202">
        <v>2436424.5499999998</v>
      </c>
      <c r="G308" s="202">
        <v>1538660.6</v>
      </c>
      <c r="H308" s="202">
        <v>1538660.6</v>
      </c>
      <c r="I308" s="203">
        <v>0.63152400922901553</v>
      </c>
      <c r="J308" s="231"/>
    </row>
    <row r="309" spans="1:10" ht="45" outlineLevel="4" x14ac:dyDescent="0.25">
      <c r="A309" s="204" t="s">
        <v>262</v>
      </c>
      <c r="B309" s="201" t="s">
        <v>263</v>
      </c>
      <c r="C309" s="201" t="s">
        <v>426</v>
      </c>
      <c r="D309" s="201" t="s">
        <v>30</v>
      </c>
      <c r="E309" s="202">
        <v>2436424.5499999998</v>
      </c>
      <c r="F309" s="202">
        <v>2436424.5499999998</v>
      </c>
      <c r="G309" s="202">
        <v>1538660.6</v>
      </c>
      <c r="H309" s="202">
        <v>1538660.6</v>
      </c>
      <c r="I309" s="203">
        <v>0.63152400922901553</v>
      </c>
      <c r="J309" s="231"/>
    </row>
    <row r="310" spans="1:10" ht="75" outlineLevel="3" x14ac:dyDescent="0.25">
      <c r="A310" s="204" t="s">
        <v>205</v>
      </c>
      <c r="B310" s="201"/>
      <c r="C310" s="201" t="s">
        <v>427</v>
      </c>
      <c r="D310" s="201" t="s">
        <v>30</v>
      </c>
      <c r="E310" s="202">
        <v>160000</v>
      </c>
      <c r="F310" s="202">
        <v>160000</v>
      </c>
      <c r="G310" s="202">
        <v>160000</v>
      </c>
      <c r="H310" s="202">
        <v>160000</v>
      </c>
      <c r="I310" s="203">
        <v>1</v>
      </c>
      <c r="J310" s="231"/>
    </row>
    <row r="311" spans="1:10" ht="45" outlineLevel="4" x14ac:dyDescent="0.25">
      <c r="A311" s="204" t="s">
        <v>262</v>
      </c>
      <c r="B311" s="201" t="s">
        <v>263</v>
      </c>
      <c r="C311" s="201" t="s">
        <v>427</v>
      </c>
      <c r="D311" s="201" t="s">
        <v>30</v>
      </c>
      <c r="E311" s="202">
        <v>160000</v>
      </c>
      <c r="F311" s="202">
        <v>160000</v>
      </c>
      <c r="G311" s="202">
        <v>160000</v>
      </c>
      <c r="H311" s="202">
        <v>160000</v>
      </c>
      <c r="I311" s="203">
        <v>1</v>
      </c>
      <c r="J311" s="231"/>
    </row>
    <row r="312" spans="1:10" ht="75" outlineLevel="3" x14ac:dyDescent="0.25">
      <c r="A312" s="204" t="s">
        <v>207</v>
      </c>
      <c r="B312" s="201"/>
      <c r="C312" s="201" t="s">
        <v>428</v>
      </c>
      <c r="D312" s="201" t="s">
        <v>30</v>
      </c>
      <c r="E312" s="202">
        <v>15000</v>
      </c>
      <c r="F312" s="202">
        <v>15000</v>
      </c>
      <c r="G312" s="202">
        <v>7500</v>
      </c>
      <c r="H312" s="202">
        <v>7500</v>
      </c>
      <c r="I312" s="203">
        <v>0.5</v>
      </c>
      <c r="J312" s="231"/>
    </row>
    <row r="313" spans="1:10" ht="45" outlineLevel="4" x14ac:dyDescent="0.25">
      <c r="A313" s="204" t="s">
        <v>262</v>
      </c>
      <c r="B313" s="201" t="s">
        <v>263</v>
      </c>
      <c r="C313" s="201" t="s">
        <v>428</v>
      </c>
      <c r="D313" s="201" t="s">
        <v>30</v>
      </c>
      <c r="E313" s="202">
        <v>15000</v>
      </c>
      <c r="F313" s="202">
        <v>15000</v>
      </c>
      <c r="G313" s="202">
        <v>7500</v>
      </c>
      <c r="H313" s="202">
        <v>7500</v>
      </c>
      <c r="I313" s="203">
        <v>0.5</v>
      </c>
      <c r="J313" s="231"/>
    </row>
    <row r="314" spans="1:10" ht="75" outlineLevel="3" x14ac:dyDescent="0.25">
      <c r="A314" s="204" t="s">
        <v>209</v>
      </c>
      <c r="B314" s="201"/>
      <c r="C314" s="201" t="s">
        <v>429</v>
      </c>
      <c r="D314" s="201" t="s">
        <v>32</v>
      </c>
      <c r="E314" s="202">
        <v>3728850.89</v>
      </c>
      <c r="F314" s="202">
        <v>3728850.89</v>
      </c>
      <c r="G314" s="202">
        <v>2796638.22</v>
      </c>
      <c r="H314" s="202">
        <v>2796638.22</v>
      </c>
      <c r="I314" s="203">
        <v>0.75000001407940453</v>
      </c>
      <c r="J314" s="231"/>
    </row>
    <row r="315" spans="1:10" ht="45" outlineLevel="4" x14ac:dyDescent="0.25">
      <c r="A315" s="204" t="s">
        <v>262</v>
      </c>
      <c r="B315" s="201" t="s">
        <v>263</v>
      </c>
      <c r="C315" s="201" t="s">
        <v>429</v>
      </c>
      <c r="D315" s="201" t="s">
        <v>32</v>
      </c>
      <c r="E315" s="202">
        <v>3728850.89</v>
      </c>
      <c r="F315" s="202">
        <v>3728850.89</v>
      </c>
      <c r="G315" s="202">
        <v>2796638.22</v>
      </c>
      <c r="H315" s="202">
        <v>2796638.22</v>
      </c>
      <c r="I315" s="203">
        <v>0.75000001407940453</v>
      </c>
      <c r="J315" s="231"/>
    </row>
    <row r="316" spans="1:10" ht="105" outlineLevel="3" x14ac:dyDescent="0.25">
      <c r="A316" s="204" t="s">
        <v>217</v>
      </c>
      <c r="B316" s="201"/>
      <c r="C316" s="201" t="s">
        <v>430</v>
      </c>
      <c r="D316" s="201" t="s">
        <v>30</v>
      </c>
      <c r="E316" s="202">
        <v>302339.26</v>
      </c>
      <c r="F316" s="202">
        <v>302339.26</v>
      </c>
      <c r="G316" s="202">
        <v>226754.37</v>
      </c>
      <c r="H316" s="202">
        <v>226754.37</v>
      </c>
      <c r="I316" s="203">
        <v>0.74999975193430057</v>
      </c>
      <c r="J316" s="231"/>
    </row>
    <row r="317" spans="1:10" ht="45" outlineLevel="4" x14ac:dyDescent="0.25">
      <c r="A317" s="204" t="s">
        <v>262</v>
      </c>
      <c r="B317" s="201" t="s">
        <v>263</v>
      </c>
      <c r="C317" s="201" t="s">
        <v>430</v>
      </c>
      <c r="D317" s="201" t="s">
        <v>30</v>
      </c>
      <c r="E317" s="202">
        <v>302339.26</v>
      </c>
      <c r="F317" s="202">
        <v>302339.26</v>
      </c>
      <c r="G317" s="202">
        <v>226754.37</v>
      </c>
      <c r="H317" s="202">
        <v>226754.37</v>
      </c>
      <c r="I317" s="203">
        <v>0.74999975193430057</v>
      </c>
      <c r="J317" s="231"/>
    </row>
    <row r="318" spans="1:10" ht="150" outlineLevel="3" x14ac:dyDescent="0.25">
      <c r="A318" s="204" t="s">
        <v>219</v>
      </c>
      <c r="B318" s="201"/>
      <c r="C318" s="201" t="s">
        <v>431</v>
      </c>
      <c r="D318" s="201" t="s">
        <v>30</v>
      </c>
      <c r="E318" s="202">
        <v>14168160.640000001</v>
      </c>
      <c r="F318" s="202">
        <v>14168160.640000001</v>
      </c>
      <c r="G318" s="202">
        <v>10396790.310000001</v>
      </c>
      <c r="H318" s="202">
        <v>10396790.310000001</v>
      </c>
      <c r="I318" s="203">
        <v>0.73381369495821869</v>
      </c>
      <c r="J318" s="231"/>
    </row>
    <row r="319" spans="1:10" ht="45" outlineLevel="4" x14ac:dyDescent="0.25">
      <c r="A319" s="204" t="s">
        <v>262</v>
      </c>
      <c r="B319" s="201" t="s">
        <v>263</v>
      </c>
      <c r="C319" s="201" t="s">
        <v>431</v>
      </c>
      <c r="D319" s="201" t="s">
        <v>30</v>
      </c>
      <c r="E319" s="202">
        <v>14168160.640000001</v>
      </c>
      <c r="F319" s="202">
        <v>14168160.640000001</v>
      </c>
      <c r="G319" s="202">
        <v>10396790.310000001</v>
      </c>
      <c r="H319" s="202">
        <v>10396790.310000001</v>
      </c>
      <c r="I319" s="203">
        <v>0.73381369495821869</v>
      </c>
      <c r="J319" s="231"/>
    </row>
    <row r="320" spans="1:10" ht="75" outlineLevel="2" x14ac:dyDescent="0.25">
      <c r="A320" s="204" t="s">
        <v>432</v>
      </c>
      <c r="B320" s="201"/>
      <c r="C320" s="201"/>
      <c r="D320" s="201"/>
      <c r="E320" s="202">
        <v>9216626.9399999995</v>
      </c>
      <c r="F320" s="202">
        <v>9216626.9399999995</v>
      </c>
      <c r="G320" s="202">
        <v>9213248.9399999995</v>
      </c>
      <c r="H320" s="202">
        <v>9213248.9399999995</v>
      </c>
      <c r="I320" s="203">
        <v>0.9996334884744722</v>
      </c>
      <c r="J320" s="231"/>
    </row>
    <row r="321" spans="1:10" ht="30" outlineLevel="3" x14ac:dyDescent="0.25">
      <c r="A321" s="204" t="s">
        <v>224</v>
      </c>
      <c r="B321" s="201"/>
      <c r="C321" s="201" t="s">
        <v>433</v>
      </c>
      <c r="D321" s="201" t="s">
        <v>30</v>
      </c>
      <c r="E321" s="202">
        <v>472526.94</v>
      </c>
      <c r="F321" s="202">
        <v>472526.94</v>
      </c>
      <c r="G321" s="202">
        <v>469148.94</v>
      </c>
      <c r="H321" s="202">
        <v>469148.94</v>
      </c>
      <c r="I321" s="203">
        <v>0.99285120124579562</v>
      </c>
      <c r="J321" s="231"/>
    </row>
    <row r="322" spans="1:10" ht="45" outlineLevel="4" x14ac:dyDescent="0.25">
      <c r="A322" s="204" t="s">
        <v>262</v>
      </c>
      <c r="B322" s="201" t="s">
        <v>263</v>
      </c>
      <c r="C322" s="201" t="s">
        <v>433</v>
      </c>
      <c r="D322" s="201" t="s">
        <v>30</v>
      </c>
      <c r="E322" s="202">
        <v>472526.94</v>
      </c>
      <c r="F322" s="202">
        <v>472526.94</v>
      </c>
      <c r="G322" s="202">
        <v>469148.94</v>
      </c>
      <c r="H322" s="202">
        <v>469148.94</v>
      </c>
      <c r="I322" s="203">
        <v>0.99285120124579562</v>
      </c>
      <c r="J322" s="231"/>
    </row>
    <row r="323" spans="1:10" ht="30" customHeight="1" outlineLevel="3" x14ac:dyDescent="0.25">
      <c r="A323" s="513" t="s">
        <v>247</v>
      </c>
      <c r="B323" s="205">
        <v>919</v>
      </c>
      <c r="C323" s="519" t="s">
        <v>434</v>
      </c>
      <c r="D323" s="206" t="s">
        <v>28</v>
      </c>
      <c r="E323" s="207">
        <v>8744100</v>
      </c>
      <c r="F323" s="207">
        <v>8744100</v>
      </c>
      <c r="G323" s="207">
        <v>8744100</v>
      </c>
      <c r="H323" s="207">
        <v>8744100</v>
      </c>
      <c r="I323" s="208">
        <v>1</v>
      </c>
      <c r="J323" s="231"/>
    </row>
    <row r="324" spans="1:10" outlineLevel="3" x14ac:dyDescent="0.25">
      <c r="A324" s="514"/>
      <c r="B324" s="209">
        <v>919</v>
      </c>
      <c r="C324" s="520"/>
      <c r="D324" s="206" t="s">
        <v>34</v>
      </c>
      <c r="E324" s="207">
        <v>6208300</v>
      </c>
      <c r="F324" s="207">
        <v>6208300</v>
      </c>
      <c r="G324" s="207">
        <v>6208300</v>
      </c>
      <c r="H324" s="207">
        <v>6208300</v>
      </c>
      <c r="I324" s="208"/>
      <c r="J324" s="231"/>
    </row>
    <row r="325" spans="1:10" outlineLevel="3" x14ac:dyDescent="0.25">
      <c r="A325" s="515"/>
      <c r="B325" s="210">
        <v>919</v>
      </c>
      <c r="C325" s="521"/>
      <c r="D325" s="206" t="s">
        <v>32</v>
      </c>
      <c r="E325" s="207">
        <v>2535800</v>
      </c>
      <c r="F325" s="207">
        <v>2535800</v>
      </c>
      <c r="G325" s="207">
        <v>2535800</v>
      </c>
      <c r="H325" s="207">
        <v>2535800</v>
      </c>
      <c r="I325" s="208"/>
      <c r="J325" s="231"/>
    </row>
    <row r="326" spans="1:10" ht="75" outlineLevel="2" x14ac:dyDescent="0.25">
      <c r="A326" s="204" t="s">
        <v>435</v>
      </c>
      <c r="B326" s="201"/>
      <c r="C326" s="201"/>
      <c r="D326" s="201"/>
      <c r="E326" s="202">
        <v>368297.3</v>
      </c>
      <c r="F326" s="202">
        <v>368297.02</v>
      </c>
      <c r="G326" s="202">
        <v>368297</v>
      </c>
      <c r="H326" s="202">
        <v>368297</v>
      </c>
      <c r="I326" s="203">
        <v>0.99999918544067523</v>
      </c>
      <c r="J326" s="231"/>
    </row>
    <row r="327" spans="1:10" ht="30" outlineLevel="3" x14ac:dyDescent="0.25">
      <c r="A327" s="204" t="s">
        <v>224</v>
      </c>
      <c r="B327" s="201"/>
      <c r="C327" s="201" t="s">
        <v>436</v>
      </c>
      <c r="D327" s="201" t="s">
        <v>30</v>
      </c>
      <c r="E327" s="202">
        <v>249000</v>
      </c>
      <c r="F327" s="202">
        <v>249000</v>
      </c>
      <c r="G327" s="202">
        <v>249000</v>
      </c>
      <c r="H327" s="202">
        <v>249000</v>
      </c>
      <c r="I327" s="203">
        <v>1</v>
      </c>
      <c r="J327" s="231"/>
    </row>
    <row r="328" spans="1:10" ht="45" outlineLevel="4" x14ac:dyDescent="0.25">
      <c r="A328" s="204" t="s">
        <v>262</v>
      </c>
      <c r="B328" s="201" t="s">
        <v>263</v>
      </c>
      <c r="C328" s="201" t="s">
        <v>436</v>
      </c>
      <c r="D328" s="201" t="s">
        <v>30</v>
      </c>
      <c r="E328" s="202">
        <v>249000</v>
      </c>
      <c r="F328" s="202">
        <v>249000</v>
      </c>
      <c r="G328" s="202">
        <v>249000</v>
      </c>
      <c r="H328" s="202">
        <v>249000</v>
      </c>
      <c r="I328" s="203">
        <v>1</v>
      </c>
      <c r="J328" s="231"/>
    </row>
    <row r="329" spans="1:10" ht="23.25" customHeight="1" outlineLevel="3" x14ac:dyDescent="0.25">
      <c r="A329" s="513" t="s">
        <v>437</v>
      </c>
      <c r="B329" s="205">
        <v>919</v>
      </c>
      <c r="C329" s="516" t="s">
        <v>438</v>
      </c>
      <c r="D329" s="206" t="s">
        <v>28</v>
      </c>
      <c r="E329" s="207">
        <v>119297.3</v>
      </c>
      <c r="F329" s="207">
        <v>119297.02</v>
      </c>
      <c r="G329" s="207">
        <v>119297</v>
      </c>
      <c r="H329" s="207">
        <v>119297</v>
      </c>
      <c r="I329" s="208">
        <v>0.99999748527418475</v>
      </c>
      <c r="J329" s="231"/>
    </row>
    <row r="330" spans="1:10" outlineLevel="3" x14ac:dyDescent="0.25">
      <c r="A330" s="514"/>
      <c r="B330" s="209">
        <v>919</v>
      </c>
      <c r="C330" s="517"/>
      <c r="D330" s="206" t="s">
        <v>32</v>
      </c>
      <c r="E330" s="207">
        <v>110350</v>
      </c>
      <c r="F330" s="207">
        <v>110350</v>
      </c>
      <c r="G330" s="207">
        <v>110350</v>
      </c>
      <c r="H330" s="207">
        <v>110350</v>
      </c>
      <c r="I330" s="208"/>
      <c r="J330" s="231"/>
    </row>
    <row r="331" spans="1:10" outlineLevel="3" x14ac:dyDescent="0.25">
      <c r="A331" s="515"/>
      <c r="B331" s="210">
        <v>919</v>
      </c>
      <c r="C331" s="518"/>
      <c r="D331" s="206" t="s">
        <v>30</v>
      </c>
      <c r="E331" s="207">
        <v>8947.2999999999993</v>
      </c>
      <c r="F331" s="207">
        <v>8947.2999999999993</v>
      </c>
      <c r="G331" s="207">
        <v>8947.2999999999993</v>
      </c>
      <c r="H331" s="207">
        <v>8947.2999999999993</v>
      </c>
      <c r="I331" s="208"/>
      <c r="J331" s="231"/>
    </row>
    <row r="332" spans="1:10" ht="45" x14ac:dyDescent="0.25">
      <c r="A332" s="196" t="s">
        <v>439</v>
      </c>
      <c r="B332" s="197"/>
      <c r="C332" s="197"/>
      <c r="D332" s="197"/>
      <c r="E332" s="198">
        <v>241025757.75</v>
      </c>
      <c r="F332" s="198">
        <v>240878790.13999999</v>
      </c>
      <c r="G332" s="198">
        <v>145534224.13</v>
      </c>
      <c r="H332" s="198">
        <v>145176180.59999999</v>
      </c>
      <c r="I332" s="199">
        <v>0.60381191408161849</v>
      </c>
      <c r="J332" s="231"/>
    </row>
    <row r="333" spans="1:10" ht="30" outlineLevel="1" x14ac:dyDescent="0.25">
      <c r="A333" s="200" t="s">
        <v>440</v>
      </c>
      <c r="B333" s="201"/>
      <c r="C333" s="201"/>
      <c r="D333" s="201"/>
      <c r="E333" s="202">
        <v>157388311.94</v>
      </c>
      <c r="F333" s="202">
        <v>157388311.94</v>
      </c>
      <c r="G333" s="202">
        <v>79834781.430000007</v>
      </c>
      <c r="H333" s="202">
        <v>79826668.209999993</v>
      </c>
      <c r="I333" s="203">
        <v>0.50724720562753622</v>
      </c>
      <c r="J333" s="231"/>
    </row>
    <row r="334" spans="1:10" ht="45" outlineLevel="2" x14ac:dyDescent="0.25">
      <c r="A334" s="204" t="s">
        <v>441</v>
      </c>
      <c r="B334" s="201"/>
      <c r="C334" s="201"/>
      <c r="D334" s="201"/>
      <c r="E334" s="202">
        <v>60582004.520000003</v>
      </c>
      <c r="F334" s="202">
        <v>60582004.520000003</v>
      </c>
      <c r="G334" s="202">
        <v>7786464.9800000004</v>
      </c>
      <c r="H334" s="202">
        <v>7786464.9800000004</v>
      </c>
      <c r="I334" s="203">
        <v>0.12852768807657142</v>
      </c>
      <c r="J334" s="231"/>
    </row>
    <row r="335" spans="1:10" ht="30" outlineLevel="3" x14ac:dyDescent="0.25">
      <c r="A335" s="204" t="s">
        <v>442</v>
      </c>
      <c r="B335" s="201"/>
      <c r="C335" s="201" t="s">
        <v>443</v>
      </c>
      <c r="D335" s="201" t="s">
        <v>30</v>
      </c>
      <c r="E335" s="202">
        <v>3407475.21</v>
      </c>
      <c r="F335" s="202">
        <v>3407475.21</v>
      </c>
      <c r="G335" s="202">
        <v>2198085</v>
      </c>
      <c r="H335" s="202">
        <v>2198085</v>
      </c>
      <c r="I335" s="203">
        <v>0.6450773269161949</v>
      </c>
      <c r="J335" s="231"/>
    </row>
    <row r="336" spans="1:10" ht="75" outlineLevel="4" x14ac:dyDescent="0.25">
      <c r="A336" s="204" t="s">
        <v>308</v>
      </c>
      <c r="B336" s="201" t="s">
        <v>309</v>
      </c>
      <c r="C336" s="201" t="s">
        <v>443</v>
      </c>
      <c r="D336" s="201" t="s">
        <v>30</v>
      </c>
      <c r="E336" s="202">
        <v>3407475.21</v>
      </c>
      <c r="F336" s="202">
        <v>3407475.21</v>
      </c>
      <c r="G336" s="202">
        <v>2198085</v>
      </c>
      <c r="H336" s="202">
        <v>2198085</v>
      </c>
      <c r="I336" s="203">
        <v>0.6450773269161949</v>
      </c>
      <c r="J336" s="231"/>
    </row>
    <row r="337" spans="1:14" ht="75" outlineLevel="3" x14ac:dyDescent="0.25">
      <c r="A337" s="204" t="s">
        <v>444</v>
      </c>
      <c r="B337" s="201"/>
      <c r="C337" s="201" t="s">
        <v>445</v>
      </c>
      <c r="D337" s="201" t="s">
        <v>32</v>
      </c>
      <c r="E337" s="202">
        <v>52886439.609999999</v>
      </c>
      <c r="F337" s="202">
        <v>52886439.609999999</v>
      </c>
      <c r="G337" s="202">
        <v>5169251.4800000004</v>
      </c>
      <c r="H337" s="202">
        <v>5169251.4800000004</v>
      </c>
      <c r="I337" s="203">
        <v>9.7742474594991927E-2</v>
      </c>
      <c r="J337" s="231"/>
      <c r="L337" s="232" t="s">
        <v>3</v>
      </c>
    </row>
    <row r="338" spans="1:14" ht="75" outlineLevel="4" x14ac:dyDescent="0.25">
      <c r="A338" s="204" t="s">
        <v>308</v>
      </c>
      <c r="B338" s="201" t="s">
        <v>309</v>
      </c>
      <c r="C338" s="201" t="s">
        <v>445</v>
      </c>
      <c r="D338" s="201" t="s">
        <v>32</v>
      </c>
      <c r="E338" s="202">
        <v>52886439.609999999</v>
      </c>
      <c r="F338" s="202">
        <v>52886439.609999999</v>
      </c>
      <c r="G338" s="202">
        <v>5169251.4800000004</v>
      </c>
      <c r="H338" s="202">
        <v>5169251.4800000004</v>
      </c>
      <c r="I338" s="203">
        <v>9.7742474594991927E-2</v>
      </c>
      <c r="J338" s="231"/>
    </row>
    <row r="339" spans="1:14" ht="105" outlineLevel="3" x14ac:dyDescent="0.25">
      <c r="A339" s="204" t="s">
        <v>446</v>
      </c>
      <c r="B339" s="201"/>
      <c r="C339" s="201" t="s">
        <v>447</v>
      </c>
      <c r="D339" s="201" t="s">
        <v>30</v>
      </c>
      <c r="E339" s="202">
        <v>4288089.7</v>
      </c>
      <c r="F339" s="202">
        <v>4288089.7</v>
      </c>
      <c r="G339" s="202">
        <v>419128.5</v>
      </c>
      <c r="H339" s="202">
        <v>419128.5</v>
      </c>
      <c r="I339" s="203">
        <v>9.7742474930037029E-2</v>
      </c>
      <c r="J339" s="231"/>
    </row>
    <row r="340" spans="1:14" ht="75" outlineLevel="4" x14ac:dyDescent="0.25">
      <c r="A340" s="204" t="s">
        <v>308</v>
      </c>
      <c r="B340" s="201" t="s">
        <v>309</v>
      </c>
      <c r="C340" s="201" t="s">
        <v>447</v>
      </c>
      <c r="D340" s="201" t="s">
        <v>30</v>
      </c>
      <c r="E340" s="202">
        <v>4288089.7</v>
      </c>
      <c r="F340" s="202">
        <v>4288089.7</v>
      </c>
      <c r="G340" s="202">
        <v>419128.5</v>
      </c>
      <c r="H340" s="202">
        <v>419128.5</v>
      </c>
      <c r="I340" s="203">
        <v>9.7742474930037029E-2</v>
      </c>
      <c r="J340" s="231"/>
    </row>
    <row r="341" spans="1:14" ht="45" outlineLevel="2" x14ac:dyDescent="0.25">
      <c r="A341" s="204" t="s">
        <v>448</v>
      </c>
      <c r="B341" s="201"/>
      <c r="C341" s="201"/>
      <c r="D341" s="201"/>
      <c r="E341" s="202">
        <v>96806307.420000002</v>
      </c>
      <c r="F341" s="202">
        <v>96806307.420000002</v>
      </c>
      <c r="G341" s="202">
        <v>72048316.450000003</v>
      </c>
      <c r="H341" s="202">
        <v>72040203.230000004</v>
      </c>
      <c r="I341" s="203">
        <v>0.74425229481601896</v>
      </c>
      <c r="J341" s="231"/>
    </row>
    <row r="342" spans="1:14" ht="60" outlineLevel="3" x14ac:dyDescent="0.25">
      <c r="A342" s="204" t="s">
        <v>449</v>
      </c>
      <c r="B342" s="201"/>
      <c r="C342" s="201" t="s">
        <v>450</v>
      </c>
      <c r="D342" s="201" t="s">
        <v>30</v>
      </c>
      <c r="E342" s="202">
        <v>90446519.989999995</v>
      </c>
      <c r="F342" s="202">
        <v>90446519.989999995</v>
      </c>
      <c r="G342" s="202">
        <v>68740129.319999993</v>
      </c>
      <c r="H342" s="202">
        <v>68740129.319999993</v>
      </c>
      <c r="I342" s="203">
        <v>0.76000855895395514</v>
      </c>
      <c r="J342" s="231"/>
    </row>
    <row r="343" spans="1:14" ht="75" outlineLevel="4" x14ac:dyDescent="0.25">
      <c r="A343" s="204" t="s">
        <v>308</v>
      </c>
      <c r="B343" s="201" t="s">
        <v>309</v>
      </c>
      <c r="C343" s="201" t="s">
        <v>450</v>
      </c>
      <c r="D343" s="201" t="s">
        <v>30</v>
      </c>
      <c r="E343" s="202">
        <v>90446519.989999995</v>
      </c>
      <c r="F343" s="202">
        <v>90446519.989999995</v>
      </c>
      <c r="G343" s="202">
        <v>68740129.319999993</v>
      </c>
      <c r="H343" s="202">
        <v>68740129.319999993</v>
      </c>
      <c r="I343" s="203">
        <v>0.76000855895395514</v>
      </c>
      <c r="J343" s="231"/>
    </row>
    <row r="344" spans="1:14" ht="30" outlineLevel="3" x14ac:dyDescent="0.25">
      <c r="A344" s="204" t="s">
        <v>224</v>
      </c>
      <c r="B344" s="201"/>
      <c r="C344" s="201" t="s">
        <v>451</v>
      </c>
      <c r="D344" s="201" t="s">
        <v>30</v>
      </c>
      <c r="E344" s="202">
        <v>6359787.4299999997</v>
      </c>
      <c r="F344" s="202">
        <v>6359787.4299999997</v>
      </c>
      <c r="G344" s="202">
        <v>3308187.13</v>
      </c>
      <c r="H344" s="202">
        <v>3300073.91</v>
      </c>
      <c r="I344" s="203">
        <v>0.52017259482523304</v>
      </c>
      <c r="J344" s="231"/>
    </row>
    <row r="345" spans="1:14" ht="75" outlineLevel="4" x14ac:dyDescent="0.25">
      <c r="A345" s="204" t="s">
        <v>308</v>
      </c>
      <c r="B345" s="201" t="s">
        <v>309</v>
      </c>
      <c r="C345" s="201" t="s">
        <v>451</v>
      </c>
      <c r="D345" s="201" t="s">
        <v>30</v>
      </c>
      <c r="E345" s="202">
        <v>6359787.4299999997</v>
      </c>
      <c r="F345" s="202">
        <v>6359787.4299999997</v>
      </c>
      <c r="G345" s="202">
        <v>3308187.13</v>
      </c>
      <c r="H345" s="202">
        <v>3300073.91</v>
      </c>
      <c r="I345" s="203">
        <v>0.52017259482523304</v>
      </c>
      <c r="J345" s="231"/>
    </row>
    <row r="346" spans="1:14" ht="45" outlineLevel="1" x14ac:dyDescent="0.25">
      <c r="A346" s="200" t="s">
        <v>452</v>
      </c>
      <c r="B346" s="201"/>
      <c r="C346" s="201"/>
      <c r="D346" s="201"/>
      <c r="E346" s="202">
        <v>31281472.370000001</v>
      </c>
      <c r="F346" s="202">
        <v>31281472.370000001</v>
      </c>
      <c r="G346" s="202">
        <v>31036846.890000001</v>
      </c>
      <c r="H346" s="202">
        <v>31036846.890000001</v>
      </c>
      <c r="I346" s="203">
        <v>0.99217986042643558</v>
      </c>
      <c r="J346" s="231"/>
    </row>
    <row r="347" spans="1:14" ht="45" outlineLevel="2" x14ac:dyDescent="0.25">
      <c r="A347" s="204" t="s">
        <v>453</v>
      </c>
      <c r="B347" s="201"/>
      <c r="C347" s="201"/>
      <c r="D347" s="201"/>
      <c r="E347" s="202">
        <v>31281472.370000001</v>
      </c>
      <c r="F347" s="202">
        <v>31281472.370000001</v>
      </c>
      <c r="G347" s="202">
        <v>31036846.890000001</v>
      </c>
      <c r="H347" s="202">
        <v>31036846.890000001</v>
      </c>
      <c r="I347" s="203">
        <v>0.99217986042643558</v>
      </c>
      <c r="J347" s="231"/>
    </row>
    <row r="348" spans="1:14" ht="30" outlineLevel="3" x14ac:dyDescent="0.25">
      <c r="A348" s="204" t="s">
        <v>224</v>
      </c>
      <c r="B348" s="201"/>
      <c r="C348" s="201" t="s">
        <v>454</v>
      </c>
      <c r="D348" s="201" t="s">
        <v>30</v>
      </c>
      <c r="E348" s="202">
        <v>25944270.390000001</v>
      </c>
      <c r="F348" s="202">
        <v>25944270.390000001</v>
      </c>
      <c r="G348" s="202">
        <v>25942750.809999999</v>
      </c>
      <c r="H348" s="202">
        <v>25942750.809999999</v>
      </c>
      <c r="I348" s="203">
        <v>0.99994142907173111</v>
      </c>
      <c r="J348" s="231"/>
    </row>
    <row r="349" spans="1:14" ht="75" outlineLevel="4" x14ac:dyDescent="0.25">
      <c r="A349" s="204" t="s">
        <v>308</v>
      </c>
      <c r="B349" s="201" t="s">
        <v>309</v>
      </c>
      <c r="C349" s="201" t="s">
        <v>454</v>
      </c>
      <c r="D349" s="201" t="s">
        <v>30</v>
      </c>
      <c r="E349" s="202">
        <v>25944270.390000001</v>
      </c>
      <c r="F349" s="202">
        <v>25944270.390000001</v>
      </c>
      <c r="G349" s="202">
        <v>25942750.809999999</v>
      </c>
      <c r="H349" s="202">
        <v>25942750.809999999</v>
      </c>
      <c r="I349" s="203">
        <v>0.99994142907173111</v>
      </c>
      <c r="J349" s="231"/>
    </row>
    <row r="350" spans="1:14" ht="75" outlineLevel="3" x14ac:dyDescent="0.25">
      <c r="A350" s="204" t="s">
        <v>455</v>
      </c>
      <c r="B350" s="201"/>
      <c r="C350" s="201" t="s">
        <v>456</v>
      </c>
      <c r="D350" s="201" t="s">
        <v>32</v>
      </c>
      <c r="E350" s="202">
        <v>4531606.5199999996</v>
      </c>
      <c r="F350" s="202">
        <v>4531606.5199999996</v>
      </c>
      <c r="G350" s="202">
        <v>4531606.5199999996</v>
      </c>
      <c r="H350" s="202">
        <v>4531606.5199999996</v>
      </c>
      <c r="I350" s="203">
        <v>1</v>
      </c>
      <c r="J350" s="231"/>
      <c r="L350" s="232" t="s">
        <v>3</v>
      </c>
      <c r="M350" s="233">
        <f>E350+E352</f>
        <v>4969774.42</v>
      </c>
      <c r="N350" s="233">
        <f>H350+H352</f>
        <v>4726668.5199999996</v>
      </c>
    </row>
    <row r="351" spans="1:14" ht="75" outlineLevel="4" x14ac:dyDescent="0.25">
      <c r="A351" s="204" t="s">
        <v>308</v>
      </c>
      <c r="B351" s="201" t="s">
        <v>309</v>
      </c>
      <c r="C351" s="201" t="s">
        <v>456</v>
      </c>
      <c r="D351" s="201" t="s">
        <v>32</v>
      </c>
      <c r="E351" s="202">
        <v>4531606.5199999996</v>
      </c>
      <c r="F351" s="202">
        <v>4531606.5199999996</v>
      </c>
      <c r="G351" s="202">
        <v>4531606.5199999996</v>
      </c>
      <c r="H351" s="202">
        <v>4531606.5199999996</v>
      </c>
      <c r="I351" s="203">
        <v>1</v>
      </c>
      <c r="J351" s="231"/>
    </row>
    <row r="352" spans="1:14" ht="135" outlineLevel="3" x14ac:dyDescent="0.25">
      <c r="A352" s="204" t="s">
        <v>457</v>
      </c>
      <c r="B352" s="201"/>
      <c r="C352" s="201" t="s">
        <v>458</v>
      </c>
      <c r="D352" s="201" t="s">
        <v>32</v>
      </c>
      <c r="E352" s="202">
        <v>438167.9</v>
      </c>
      <c r="F352" s="202">
        <v>438167.9</v>
      </c>
      <c r="G352" s="202">
        <v>195062</v>
      </c>
      <c r="H352" s="202">
        <v>195062</v>
      </c>
      <c r="I352" s="203">
        <v>0.44517638101741364</v>
      </c>
      <c r="J352" s="231"/>
    </row>
    <row r="353" spans="1:10" ht="75" outlineLevel="4" x14ac:dyDescent="0.25">
      <c r="A353" s="204" t="s">
        <v>308</v>
      </c>
      <c r="B353" s="201" t="s">
        <v>309</v>
      </c>
      <c r="C353" s="201" t="s">
        <v>458</v>
      </c>
      <c r="D353" s="201" t="s">
        <v>32</v>
      </c>
      <c r="E353" s="202">
        <v>438167.9</v>
      </c>
      <c r="F353" s="202">
        <v>438167.9</v>
      </c>
      <c r="G353" s="202">
        <v>195062</v>
      </c>
      <c r="H353" s="202">
        <v>195062</v>
      </c>
      <c r="I353" s="203">
        <v>0.44517638101741364</v>
      </c>
      <c r="J353" s="231"/>
    </row>
    <row r="354" spans="1:10" ht="105" outlineLevel="3" x14ac:dyDescent="0.25">
      <c r="A354" s="204" t="s">
        <v>459</v>
      </c>
      <c r="B354" s="201"/>
      <c r="C354" s="201" t="s">
        <v>460</v>
      </c>
      <c r="D354" s="201" t="s">
        <v>30</v>
      </c>
      <c r="E354" s="202">
        <v>367427.56</v>
      </c>
      <c r="F354" s="202">
        <v>367427.56</v>
      </c>
      <c r="G354" s="202">
        <v>367427.56</v>
      </c>
      <c r="H354" s="202">
        <v>367427.56</v>
      </c>
      <c r="I354" s="203">
        <v>1</v>
      </c>
      <c r="J354" s="231"/>
    </row>
    <row r="355" spans="1:10" ht="75" outlineLevel="4" x14ac:dyDescent="0.25">
      <c r="A355" s="204" t="s">
        <v>308</v>
      </c>
      <c r="B355" s="201" t="s">
        <v>309</v>
      </c>
      <c r="C355" s="201" t="s">
        <v>460</v>
      </c>
      <c r="D355" s="201" t="s">
        <v>30</v>
      </c>
      <c r="E355" s="202">
        <v>367427.56</v>
      </c>
      <c r="F355" s="202">
        <v>367427.56</v>
      </c>
      <c r="G355" s="202">
        <v>367427.56</v>
      </c>
      <c r="H355" s="202">
        <v>367427.56</v>
      </c>
      <c r="I355" s="203">
        <v>1</v>
      </c>
      <c r="J355" s="231"/>
    </row>
    <row r="356" spans="1:10" ht="30" outlineLevel="1" x14ac:dyDescent="0.25">
      <c r="A356" s="200" t="s">
        <v>461</v>
      </c>
      <c r="B356" s="201"/>
      <c r="C356" s="201"/>
      <c r="D356" s="201"/>
      <c r="E356" s="202">
        <v>10374875.199999999</v>
      </c>
      <c r="F356" s="202">
        <v>10374875.199999999</v>
      </c>
      <c r="G356" s="202">
        <v>4652099.57</v>
      </c>
      <c r="H356" s="202">
        <v>4652099.57</v>
      </c>
      <c r="I356" s="203">
        <v>0.44840053304930355</v>
      </c>
      <c r="J356" s="231"/>
    </row>
    <row r="357" spans="1:10" ht="45" outlineLevel="2" x14ac:dyDescent="0.25">
      <c r="A357" s="204" t="s">
        <v>462</v>
      </c>
      <c r="B357" s="201"/>
      <c r="C357" s="201"/>
      <c r="D357" s="201"/>
      <c r="E357" s="202">
        <v>10117918</v>
      </c>
      <c r="F357" s="202">
        <v>10117918</v>
      </c>
      <c r="G357" s="202">
        <v>4462544.5</v>
      </c>
      <c r="H357" s="202">
        <v>4462544.5</v>
      </c>
      <c r="I357" s="203">
        <v>0.44105363376141216</v>
      </c>
      <c r="J357" s="231"/>
    </row>
    <row r="358" spans="1:10" ht="30" outlineLevel="3" x14ac:dyDescent="0.25">
      <c r="A358" s="204" t="s">
        <v>224</v>
      </c>
      <c r="B358" s="201"/>
      <c r="C358" s="201" t="s">
        <v>463</v>
      </c>
      <c r="D358" s="201" t="s">
        <v>30</v>
      </c>
      <c r="E358" s="202">
        <v>3500000</v>
      </c>
      <c r="F358" s="202">
        <v>3500000</v>
      </c>
      <c r="G358" s="202">
        <v>3242929.5</v>
      </c>
      <c r="H358" s="202">
        <v>3242929.5</v>
      </c>
      <c r="I358" s="203">
        <v>0.92655128571428569</v>
      </c>
      <c r="J358" s="231"/>
    </row>
    <row r="359" spans="1:10" ht="75" outlineLevel="4" x14ac:dyDescent="0.25">
      <c r="A359" s="204" t="s">
        <v>308</v>
      </c>
      <c r="B359" s="201" t="s">
        <v>309</v>
      </c>
      <c r="C359" s="201" t="s">
        <v>463</v>
      </c>
      <c r="D359" s="201" t="s">
        <v>30</v>
      </c>
      <c r="E359" s="202">
        <v>3500000</v>
      </c>
      <c r="F359" s="202">
        <v>3500000</v>
      </c>
      <c r="G359" s="202">
        <v>3242929.5</v>
      </c>
      <c r="H359" s="202">
        <v>3242929.5</v>
      </c>
      <c r="I359" s="203">
        <v>0.92655128571428569</v>
      </c>
      <c r="J359" s="231"/>
    </row>
    <row r="360" spans="1:10" ht="60" outlineLevel="3" x14ac:dyDescent="0.25">
      <c r="A360" s="204" t="s">
        <v>464</v>
      </c>
      <c r="B360" s="201"/>
      <c r="C360" s="201" t="s">
        <v>465</v>
      </c>
      <c r="D360" s="201" t="s">
        <v>32</v>
      </c>
      <c r="E360" s="202">
        <v>6617918</v>
      </c>
      <c r="F360" s="202">
        <v>6617918</v>
      </c>
      <c r="G360" s="202">
        <v>1219615</v>
      </c>
      <c r="H360" s="202">
        <v>1219615</v>
      </c>
      <c r="I360" s="203">
        <v>0.18428983254250053</v>
      </c>
      <c r="J360" s="231"/>
    </row>
    <row r="361" spans="1:10" ht="75" outlineLevel="4" x14ac:dyDescent="0.25">
      <c r="A361" s="204" t="s">
        <v>308</v>
      </c>
      <c r="B361" s="201" t="s">
        <v>309</v>
      </c>
      <c r="C361" s="201" t="s">
        <v>465</v>
      </c>
      <c r="D361" s="201" t="s">
        <v>32</v>
      </c>
      <c r="E361" s="202">
        <v>6617918</v>
      </c>
      <c r="F361" s="202">
        <v>6617918</v>
      </c>
      <c r="G361" s="202">
        <v>1219615</v>
      </c>
      <c r="H361" s="202">
        <v>1219615</v>
      </c>
      <c r="I361" s="203">
        <v>0.18428983254250053</v>
      </c>
      <c r="J361" s="231"/>
    </row>
    <row r="362" spans="1:10" ht="75" outlineLevel="2" x14ac:dyDescent="0.25">
      <c r="A362" s="204" t="s">
        <v>466</v>
      </c>
      <c r="B362" s="201"/>
      <c r="C362" s="201"/>
      <c r="D362" s="201"/>
      <c r="E362" s="202">
        <v>256957.2</v>
      </c>
      <c r="F362" s="202">
        <v>256957.2</v>
      </c>
      <c r="G362" s="202">
        <v>189555.07</v>
      </c>
      <c r="H362" s="202">
        <v>189555.07</v>
      </c>
      <c r="I362" s="203">
        <v>0.73769121861539588</v>
      </c>
      <c r="J362" s="231"/>
    </row>
    <row r="363" spans="1:10" ht="45" outlineLevel="3" x14ac:dyDescent="0.25">
      <c r="A363" s="204" t="s">
        <v>467</v>
      </c>
      <c r="B363" s="201"/>
      <c r="C363" s="201" t="s">
        <v>468</v>
      </c>
      <c r="D363" s="201" t="s">
        <v>30</v>
      </c>
      <c r="E363" s="202">
        <v>195278.2</v>
      </c>
      <c r="F363" s="202">
        <v>195278.2</v>
      </c>
      <c r="G363" s="202">
        <v>189555.07</v>
      </c>
      <c r="H363" s="202">
        <v>189555.07</v>
      </c>
      <c r="I363" s="203">
        <v>0.97069242752135154</v>
      </c>
      <c r="J363" s="231"/>
    </row>
    <row r="364" spans="1:10" ht="75" outlineLevel="4" x14ac:dyDescent="0.25">
      <c r="A364" s="204" t="s">
        <v>308</v>
      </c>
      <c r="B364" s="201" t="s">
        <v>309</v>
      </c>
      <c r="C364" s="201" t="s">
        <v>468</v>
      </c>
      <c r="D364" s="201" t="s">
        <v>30</v>
      </c>
      <c r="E364" s="202">
        <v>195278.2</v>
      </c>
      <c r="F364" s="202">
        <v>195278.2</v>
      </c>
      <c r="G364" s="202">
        <v>189555.07</v>
      </c>
      <c r="H364" s="202">
        <v>189555.07</v>
      </c>
      <c r="I364" s="203">
        <v>0.97069242752135154</v>
      </c>
      <c r="J364" s="231"/>
    </row>
    <row r="365" spans="1:10" ht="30" outlineLevel="3" x14ac:dyDescent="0.25">
      <c r="A365" s="204" t="s">
        <v>224</v>
      </c>
      <c r="B365" s="201"/>
      <c r="C365" s="201" t="s">
        <v>469</v>
      </c>
      <c r="D365" s="201" t="s">
        <v>30</v>
      </c>
      <c r="E365" s="202">
        <v>61679</v>
      </c>
      <c r="F365" s="202">
        <v>61679</v>
      </c>
      <c r="G365" s="202">
        <v>0</v>
      </c>
      <c r="H365" s="202">
        <v>0</v>
      </c>
      <c r="I365" s="203">
        <v>0</v>
      </c>
      <c r="J365" s="231"/>
    </row>
    <row r="366" spans="1:10" ht="75" outlineLevel="4" x14ac:dyDescent="0.25">
      <c r="A366" s="204" t="s">
        <v>308</v>
      </c>
      <c r="B366" s="201" t="s">
        <v>309</v>
      </c>
      <c r="C366" s="201" t="s">
        <v>469</v>
      </c>
      <c r="D366" s="201" t="s">
        <v>30</v>
      </c>
      <c r="E366" s="202">
        <v>61679</v>
      </c>
      <c r="F366" s="202">
        <v>61679</v>
      </c>
      <c r="G366" s="202">
        <v>0</v>
      </c>
      <c r="H366" s="202">
        <v>0</v>
      </c>
      <c r="I366" s="203">
        <v>0</v>
      </c>
      <c r="J366" s="231"/>
    </row>
    <row r="367" spans="1:10" ht="45" outlineLevel="1" x14ac:dyDescent="0.25">
      <c r="A367" s="200" t="s">
        <v>470</v>
      </c>
      <c r="B367" s="201"/>
      <c r="C367" s="201"/>
      <c r="D367" s="201"/>
      <c r="E367" s="202">
        <v>41642689.130000003</v>
      </c>
      <c r="F367" s="202">
        <v>41495721.520000003</v>
      </c>
      <c r="G367" s="202">
        <v>29706389.629999999</v>
      </c>
      <c r="H367" s="202">
        <v>29356459.32</v>
      </c>
      <c r="I367" s="203">
        <v>0.71336386411700492</v>
      </c>
      <c r="J367" s="231"/>
    </row>
    <row r="368" spans="1:10" ht="45" outlineLevel="2" x14ac:dyDescent="0.25">
      <c r="A368" s="204" t="s">
        <v>471</v>
      </c>
      <c r="B368" s="201"/>
      <c r="C368" s="201"/>
      <c r="D368" s="201"/>
      <c r="E368" s="202">
        <v>41642689.130000003</v>
      </c>
      <c r="F368" s="202">
        <v>41495721.520000003</v>
      </c>
      <c r="G368" s="202">
        <v>29706389.629999999</v>
      </c>
      <c r="H368" s="202">
        <v>29356459.32</v>
      </c>
      <c r="I368" s="203">
        <v>0.71336386411700492</v>
      </c>
      <c r="J368" s="231"/>
    </row>
    <row r="369" spans="1:10" ht="45" outlineLevel="3" x14ac:dyDescent="0.25">
      <c r="A369" s="204" t="s">
        <v>472</v>
      </c>
      <c r="B369" s="201"/>
      <c r="C369" s="201" t="s">
        <v>473</v>
      </c>
      <c r="D369" s="201" t="s">
        <v>30</v>
      </c>
      <c r="E369" s="202">
        <v>39352986.869999997</v>
      </c>
      <c r="F369" s="202">
        <v>39206019.259999998</v>
      </c>
      <c r="G369" s="202">
        <v>28266466.719999999</v>
      </c>
      <c r="H369" s="202">
        <v>27918179.5</v>
      </c>
      <c r="I369" s="203">
        <v>0.71828008413634292</v>
      </c>
      <c r="J369" s="231"/>
    </row>
    <row r="370" spans="1:10" ht="75" outlineLevel="4" x14ac:dyDescent="0.25">
      <c r="A370" s="204" t="s">
        <v>308</v>
      </c>
      <c r="B370" s="201" t="s">
        <v>309</v>
      </c>
      <c r="C370" s="201" t="s">
        <v>473</v>
      </c>
      <c r="D370" s="201" t="s">
        <v>30</v>
      </c>
      <c r="E370" s="202">
        <v>39352986.869999997</v>
      </c>
      <c r="F370" s="202">
        <v>39206019.259999998</v>
      </c>
      <c r="G370" s="202">
        <v>28266466.719999999</v>
      </c>
      <c r="H370" s="202">
        <v>27918179.5</v>
      </c>
      <c r="I370" s="203">
        <v>0.71828008413634292</v>
      </c>
      <c r="J370" s="231"/>
    </row>
    <row r="371" spans="1:10" ht="75" outlineLevel="3" x14ac:dyDescent="0.25">
      <c r="A371" s="204" t="s">
        <v>205</v>
      </c>
      <c r="B371" s="201"/>
      <c r="C371" s="201" t="s">
        <v>474</v>
      </c>
      <c r="D371" s="201" t="s">
        <v>30</v>
      </c>
      <c r="E371" s="202">
        <v>665753.92000000004</v>
      </c>
      <c r="F371" s="202">
        <v>665753.92000000004</v>
      </c>
      <c r="G371" s="202">
        <v>206142.38</v>
      </c>
      <c r="H371" s="202">
        <v>204499.29</v>
      </c>
      <c r="I371" s="203">
        <v>0.30963750089522568</v>
      </c>
      <c r="J371" s="231"/>
    </row>
    <row r="372" spans="1:10" ht="75" outlineLevel="4" x14ac:dyDescent="0.25">
      <c r="A372" s="204" t="s">
        <v>308</v>
      </c>
      <c r="B372" s="201" t="s">
        <v>309</v>
      </c>
      <c r="C372" s="201" t="s">
        <v>474</v>
      </c>
      <c r="D372" s="201" t="s">
        <v>30</v>
      </c>
      <c r="E372" s="202">
        <v>665753.92000000004</v>
      </c>
      <c r="F372" s="202">
        <v>665753.92000000004</v>
      </c>
      <c r="G372" s="202">
        <v>206142.38</v>
      </c>
      <c r="H372" s="202">
        <v>204499.29</v>
      </c>
      <c r="I372" s="203">
        <v>0.30963750089522568</v>
      </c>
      <c r="J372" s="231"/>
    </row>
    <row r="373" spans="1:10" ht="75" outlineLevel="3" x14ac:dyDescent="0.25">
      <c r="A373" s="204" t="s">
        <v>207</v>
      </c>
      <c r="B373" s="201"/>
      <c r="C373" s="201" t="s">
        <v>475</v>
      </c>
      <c r="D373" s="201" t="s">
        <v>30</v>
      </c>
      <c r="E373" s="202">
        <v>320300</v>
      </c>
      <c r="F373" s="202">
        <v>320300</v>
      </c>
      <c r="G373" s="202">
        <v>202389</v>
      </c>
      <c r="H373" s="202">
        <v>202389</v>
      </c>
      <c r="I373" s="203">
        <v>0.63187324383390575</v>
      </c>
      <c r="J373" s="231"/>
    </row>
    <row r="374" spans="1:10" ht="75" outlineLevel="4" x14ac:dyDescent="0.25">
      <c r="A374" s="204" t="s">
        <v>308</v>
      </c>
      <c r="B374" s="201" t="s">
        <v>309</v>
      </c>
      <c r="C374" s="201" t="s">
        <v>475</v>
      </c>
      <c r="D374" s="201" t="s">
        <v>30</v>
      </c>
      <c r="E374" s="202">
        <v>320300</v>
      </c>
      <c r="F374" s="202">
        <v>320300</v>
      </c>
      <c r="G374" s="202">
        <v>202389</v>
      </c>
      <c r="H374" s="202">
        <v>202389</v>
      </c>
      <c r="I374" s="203">
        <v>0.63187324383390575</v>
      </c>
      <c r="J374" s="231"/>
    </row>
    <row r="375" spans="1:10" ht="30" outlineLevel="3" x14ac:dyDescent="0.25">
      <c r="A375" s="204" t="s">
        <v>224</v>
      </c>
      <c r="B375" s="201"/>
      <c r="C375" s="201" t="s">
        <v>476</v>
      </c>
      <c r="D375" s="201" t="s">
        <v>30</v>
      </c>
      <c r="E375" s="202">
        <v>1303648.3400000001</v>
      </c>
      <c r="F375" s="202">
        <v>1303648.3400000001</v>
      </c>
      <c r="G375" s="202">
        <v>1031391.53</v>
      </c>
      <c r="H375" s="202">
        <v>1031391.53</v>
      </c>
      <c r="I375" s="203">
        <v>0.79115778262717684</v>
      </c>
      <c r="J375" s="231"/>
    </row>
    <row r="376" spans="1:10" ht="75" outlineLevel="4" x14ac:dyDescent="0.25">
      <c r="A376" s="204" t="s">
        <v>308</v>
      </c>
      <c r="B376" s="201" t="s">
        <v>309</v>
      </c>
      <c r="C376" s="201" t="s">
        <v>476</v>
      </c>
      <c r="D376" s="201" t="s">
        <v>30</v>
      </c>
      <c r="E376" s="202">
        <v>1303648.3400000001</v>
      </c>
      <c r="F376" s="202">
        <v>1303648.3400000001</v>
      </c>
      <c r="G376" s="202">
        <v>1031391.53</v>
      </c>
      <c r="H376" s="202">
        <v>1031391.53</v>
      </c>
      <c r="I376" s="203">
        <v>0.79115778262717684</v>
      </c>
      <c r="J376" s="231"/>
    </row>
    <row r="377" spans="1:10" ht="30" outlineLevel="1" x14ac:dyDescent="0.25">
      <c r="A377" s="200" t="s">
        <v>477</v>
      </c>
      <c r="B377" s="201"/>
      <c r="C377" s="201"/>
      <c r="D377" s="201"/>
      <c r="E377" s="202">
        <v>338409.11</v>
      </c>
      <c r="F377" s="202">
        <v>338409.11</v>
      </c>
      <c r="G377" s="202">
        <v>304106.61</v>
      </c>
      <c r="H377" s="202">
        <v>304106.61</v>
      </c>
      <c r="I377" s="203">
        <v>0.89863600303195146</v>
      </c>
      <c r="J377" s="231"/>
    </row>
    <row r="378" spans="1:10" ht="30" outlineLevel="2" x14ac:dyDescent="0.25">
      <c r="A378" s="204" t="s">
        <v>478</v>
      </c>
      <c r="B378" s="201"/>
      <c r="C378" s="201"/>
      <c r="D378" s="201"/>
      <c r="E378" s="202">
        <v>338409.11</v>
      </c>
      <c r="F378" s="202">
        <v>338409.11</v>
      </c>
      <c r="G378" s="202">
        <v>304106.61</v>
      </c>
      <c r="H378" s="202">
        <v>304106.61</v>
      </c>
      <c r="I378" s="203">
        <v>0.89863600303195146</v>
      </c>
      <c r="J378" s="231"/>
    </row>
    <row r="379" spans="1:10" ht="30" outlineLevel="3" x14ac:dyDescent="0.25">
      <c r="A379" s="204" t="s">
        <v>224</v>
      </c>
      <c r="B379" s="201"/>
      <c r="C379" s="201" t="s">
        <v>479</v>
      </c>
      <c r="D379" s="201" t="s">
        <v>30</v>
      </c>
      <c r="E379" s="202">
        <v>338409.11</v>
      </c>
      <c r="F379" s="202">
        <v>338409.11</v>
      </c>
      <c r="G379" s="202">
        <v>304106.61</v>
      </c>
      <c r="H379" s="202">
        <v>304106.61</v>
      </c>
      <c r="I379" s="203">
        <v>0.89863600303195146</v>
      </c>
      <c r="J379" s="231"/>
    </row>
    <row r="380" spans="1:10" ht="75" outlineLevel="4" x14ac:dyDescent="0.25">
      <c r="A380" s="204" t="s">
        <v>308</v>
      </c>
      <c r="B380" s="201" t="s">
        <v>309</v>
      </c>
      <c r="C380" s="201" t="s">
        <v>479</v>
      </c>
      <c r="D380" s="201" t="s">
        <v>30</v>
      </c>
      <c r="E380" s="202">
        <v>338409.11</v>
      </c>
      <c r="F380" s="202">
        <v>338409.11</v>
      </c>
      <c r="G380" s="202">
        <v>304106.61</v>
      </c>
      <c r="H380" s="202">
        <v>304106.61</v>
      </c>
      <c r="I380" s="203">
        <v>0.89863600303195146</v>
      </c>
      <c r="J380" s="231"/>
    </row>
    <row r="381" spans="1:10" ht="60" x14ac:dyDescent="0.25">
      <c r="A381" s="196" t="s">
        <v>480</v>
      </c>
      <c r="B381" s="197"/>
      <c r="C381" s="197"/>
      <c r="D381" s="197"/>
      <c r="E381" s="198">
        <v>222390849.33000001</v>
      </c>
      <c r="F381" s="198">
        <v>222253805.09999999</v>
      </c>
      <c r="G381" s="198">
        <v>156881214.43000001</v>
      </c>
      <c r="H381" s="198">
        <v>156687503.63999999</v>
      </c>
      <c r="I381" s="199">
        <v>0.70543016901387001</v>
      </c>
      <c r="J381" s="231"/>
    </row>
    <row r="382" spans="1:10" ht="30" outlineLevel="1" x14ac:dyDescent="0.25">
      <c r="A382" s="200" t="s">
        <v>481</v>
      </c>
      <c r="B382" s="201"/>
      <c r="C382" s="201"/>
      <c r="D382" s="201"/>
      <c r="E382" s="202">
        <v>51375304.030000001</v>
      </c>
      <c r="F382" s="202">
        <v>51261904.030000001</v>
      </c>
      <c r="G382" s="202">
        <v>38379872.799999997</v>
      </c>
      <c r="H382" s="202">
        <v>38376863.170000002</v>
      </c>
      <c r="I382" s="203">
        <v>0.74704906422721173</v>
      </c>
      <c r="J382" s="231"/>
    </row>
    <row r="383" spans="1:10" ht="45" outlineLevel="2" x14ac:dyDescent="0.25">
      <c r="A383" s="204" t="s">
        <v>482</v>
      </c>
      <c r="B383" s="201"/>
      <c r="C383" s="201"/>
      <c r="D383" s="201"/>
      <c r="E383" s="202">
        <v>51375304.030000001</v>
      </c>
      <c r="F383" s="202">
        <v>51261904.030000001</v>
      </c>
      <c r="G383" s="202">
        <v>38379872.799999997</v>
      </c>
      <c r="H383" s="202">
        <v>38376863.170000002</v>
      </c>
      <c r="I383" s="203">
        <v>0.74704906422721173</v>
      </c>
      <c r="J383" s="231"/>
    </row>
    <row r="384" spans="1:10" ht="30" outlineLevel="3" x14ac:dyDescent="0.25">
      <c r="A384" s="204" t="s">
        <v>483</v>
      </c>
      <c r="B384" s="201"/>
      <c r="C384" s="201" t="s">
        <v>484</v>
      </c>
      <c r="D384" s="201" t="s">
        <v>30</v>
      </c>
      <c r="E384" s="202">
        <v>2841540</v>
      </c>
      <c r="F384" s="202">
        <v>2841540</v>
      </c>
      <c r="G384" s="202">
        <v>1885031.97</v>
      </c>
      <c r="H384" s="202">
        <v>1885031.97</v>
      </c>
      <c r="I384" s="203">
        <v>0.66338392913701727</v>
      </c>
      <c r="J384" s="231"/>
    </row>
    <row r="385" spans="1:13" ht="75" outlineLevel="4" x14ac:dyDescent="0.25">
      <c r="A385" s="204" t="s">
        <v>308</v>
      </c>
      <c r="B385" s="201" t="s">
        <v>309</v>
      </c>
      <c r="C385" s="201" t="s">
        <v>484</v>
      </c>
      <c r="D385" s="201" t="s">
        <v>30</v>
      </c>
      <c r="E385" s="202">
        <v>2841540</v>
      </c>
      <c r="F385" s="202">
        <v>2841540</v>
      </c>
      <c r="G385" s="202">
        <v>1885031.97</v>
      </c>
      <c r="H385" s="202">
        <v>1885031.97</v>
      </c>
      <c r="I385" s="203">
        <v>0.66338392913701727</v>
      </c>
      <c r="J385" s="231"/>
      <c r="K385" s="232" t="s">
        <v>3</v>
      </c>
      <c r="L385" s="233">
        <f>E405+E406+E408+E414+E417+E419</f>
        <v>3759912.5</v>
      </c>
      <c r="M385" s="233">
        <f>H404+H406+H408+H410+H416</f>
        <v>1793649.9100000001</v>
      </c>
    </row>
    <row r="386" spans="1:13" ht="30" outlineLevel="3" x14ac:dyDescent="0.25">
      <c r="A386" s="204" t="s">
        <v>485</v>
      </c>
      <c r="B386" s="201"/>
      <c r="C386" s="201" t="s">
        <v>486</v>
      </c>
      <c r="D386" s="201" t="s">
        <v>30</v>
      </c>
      <c r="E386" s="202">
        <v>513213</v>
      </c>
      <c r="F386" s="202">
        <v>513213</v>
      </c>
      <c r="G386" s="202">
        <v>38930</v>
      </c>
      <c r="H386" s="202">
        <v>38930</v>
      </c>
      <c r="I386" s="203">
        <v>7.5855444035907119E-2</v>
      </c>
      <c r="J386" s="231"/>
      <c r="K386" s="232" t="s">
        <v>5</v>
      </c>
      <c r="L386" s="233">
        <f>E402</f>
        <v>2211088</v>
      </c>
      <c r="M386" s="233">
        <f>H402</f>
        <v>1592608.7</v>
      </c>
    </row>
    <row r="387" spans="1:13" ht="75" outlineLevel="4" x14ac:dyDescent="0.25">
      <c r="A387" s="204" t="s">
        <v>308</v>
      </c>
      <c r="B387" s="201" t="s">
        <v>309</v>
      </c>
      <c r="C387" s="201" t="s">
        <v>486</v>
      </c>
      <c r="D387" s="201" t="s">
        <v>30</v>
      </c>
      <c r="E387" s="202">
        <v>513213</v>
      </c>
      <c r="F387" s="202">
        <v>513213</v>
      </c>
      <c r="G387" s="202">
        <v>38930</v>
      </c>
      <c r="H387" s="202">
        <v>38930</v>
      </c>
      <c r="I387" s="203">
        <v>7.5855444035907119E-2</v>
      </c>
      <c r="J387" s="231"/>
      <c r="L387" s="233">
        <f>E404+E406+E408+E410+E412+E414+E416+E418</f>
        <v>3994312.5</v>
      </c>
      <c r="M387" s="233">
        <f>H404+H407+H408+H410+H414+H416</f>
        <v>2490312.35</v>
      </c>
    </row>
    <row r="388" spans="1:13" ht="75" outlineLevel="3" x14ac:dyDescent="0.25">
      <c r="A388" s="204" t="s">
        <v>487</v>
      </c>
      <c r="B388" s="201"/>
      <c r="C388" s="201" t="s">
        <v>488</v>
      </c>
      <c r="D388" s="201" t="s">
        <v>30</v>
      </c>
      <c r="E388" s="202">
        <v>90000</v>
      </c>
      <c r="F388" s="202">
        <v>90000</v>
      </c>
      <c r="G388" s="202">
        <v>0</v>
      </c>
      <c r="H388" s="202">
        <v>0</v>
      </c>
      <c r="I388" s="203">
        <v>0</v>
      </c>
      <c r="J388" s="231"/>
      <c r="M388" s="233"/>
    </row>
    <row r="389" spans="1:13" ht="75" outlineLevel="4" x14ac:dyDescent="0.25">
      <c r="A389" s="204" t="s">
        <v>308</v>
      </c>
      <c r="B389" s="201" t="s">
        <v>309</v>
      </c>
      <c r="C389" s="201" t="s">
        <v>488</v>
      </c>
      <c r="D389" s="201" t="s">
        <v>30</v>
      </c>
      <c r="E389" s="202">
        <v>90000</v>
      </c>
      <c r="F389" s="202">
        <v>90000</v>
      </c>
      <c r="G389" s="202">
        <v>0</v>
      </c>
      <c r="H389" s="202">
        <v>0</v>
      </c>
      <c r="I389" s="203">
        <v>0</v>
      </c>
      <c r="J389" s="231"/>
    </row>
    <row r="390" spans="1:13" ht="45" outlineLevel="3" x14ac:dyDescent="0.25">
      <c r="A390" s="204" t="s">
        <v>276</v>
      </c>
      <c r="B390" s="201"/>
      <c r="C390" s="201" t="s">
        <v>489</v>
      </c>
      <c r="D390" s="201" t="s">
        <v>30</v>
      </c>
      <c r="E390" s="202">
        <v>38387213.520000003</v>
      </c>
      <c r="F390" s="202">
        <v>38387213.520000003</v>
      </c>
      <c r="G390" s="202">
        <v>30135848.129999999</v>
      </c>
      <c r="H390" s="202">
        <v>30135708.129999999</v>
      </c>
      <c r="I390" s="203">
        <v>0.7850491183554914</v>
      </c>
      <c r="J390" s="231"/>
    </row>
    <row r="391" spans="1:13" ht="75" outlineLevel="4" x14ac:dyDescent="0.25">
      <c r="A391" s="204" t="s">
        <v>308</v>
      </c>
      <c r="B391" s="201" t="s">
        <v>309</v>
      </c>
      <c r="C391" s="201" t="s">
        <v>489</v>
      </c>
      <c r="D391" s="201" t="s">
        <v>30</v>
      </c>
      <c r="E391" s="202">
        <v>38387213.520000003</v>
      </c>
      <c r="F391" s="202">
        <v>38387213.520000003</v>
      </c>
      <c r="G391" s="202">
        <v>30135848.129999999</v>
      </c>
      <c r="H391" s="202">
        <v>30135708.129999999</v>
      </c>
      <c r="I391" s="203">
        <v>0.7850491183554914</v>
      </c>
      <c r="J391" s="231"/>
    </row>
    <row r="392" spans="1:13" ht="45" outlineLevel="3" x14ac:dyDescent="0.25">
      <c r="A392" s="204" t="s">
        <v>278</v>
      </c>
      <c r="B392" s="201"/>
      <c r="C392" s="201" t="s">
        <v>490</v>
      </c>
      <c r="D392" s="201" t="s">
        <v>30</v>
      </c>
      <c r="E392" s="202">
        <v>828718</v>
      </c>
      <c r="F392" s="202">
        <v>828718</v>
      </c>
      <c r="G392" s="202">
        <v>392884.74</v>
      </c>
      <c r="H392" s="202">
        <v>392884.74</v>
      </c>
      <c r="I392" s="203">
        <v>0.47408737350944469</v>
      </c>
      <c r="J392" s="231"/>
    </row>
    <row r="393" spans="1:13" ht="75" outlineLevel="4" x14ac:dyDescent="0.25">
      <c r="A393" s="204" t="s">
        <v>308</v>
      </c>
      <c r="B393" s="201" t="s">
        <v>309</v>
      </c>
      <c r="C393" s="201" t="s">
        <v>490</v>
      </c>
      <c r="D393" s="201" t="s">
        <v>30</v>
      </c>
      <c r="E393" s="202">
        <v>828718</v>
      </c>
      <c r="F393" s="202">
        <v>828718</v>
      </c>
      <c r="G393" s="202">
        <v>392884.74</v>
      </c>
      <c r="H393" s="202">
        <v>392884.74</v>
      </c>
      <c r="I393" s="203">
        <v>0.47408737350944469</v>
      </c>
      <c r="J393" s="231"/>
    </row>
    <row r="394" spans="1:13" ht="75" outlineLevel="3" x14ac:dyDescent="0.25">
      <c r="A394" s="204" t="s">
        <v>280</v>
      </c>
      <c r="B394" s="201"/>
      <c r="C394" s="201" t="s">
        <v>491</v>
      </c>
      <c r="D394" s="201" t="s">
        <v>30</v>
      </c>
      <c r="E394" s="202">
        <v>222350</v>
      </c>
      <c r="F394" s="202">
        <v>222350</v>
      </c>
      <c r="G394" s="202">
        <v>58400</v>
      </c>
      <c r="H394" s="202">
        <v>58400</v>
      </c>
      <c r="I394" s="203">
        <v>0.26264897683831795</v>
      </c>
      <c r="J394" s="231"/>
    </row>
    <row r="395" spans="1:13" ht="75" outlineLevel="4" x14ac:dyDescent="0.25">
      <c r="A395" s="204" t="s">
        <v>308</v>
      </c>
      <c r="B395" s="201" t="s">
        <v>309</v>
      </c>
      <c r="C395" s="201" t="s">
        <v>491</v>
      </c>
      <c r="D395" s="201" t="s">
        <v>30</v>
      </c>
      <c r="E395" s="202">
        <v>222350</v>
      </c>
      <c r="F395" s="202">
        <v>222350</v>
      </c>
      <c r="G395" s="202">
        <v>58400</v>
      </c>
      <c r="H395" s="202">
        <v>58400</v>
      </c>
      <c r="I395" s="203">
        <v>0.26264897683831795</v>
      </c>
      <c r="J395" s="231"/>
    </row>
    <row r="396" spans="1:13" ht="75" outlineLevel="3" x14ac:dyDescent="0.25">
      <c r="A396" s="204" t="s">
        <v>205</v>
      </c>
      <c r="B396" s="201"/>
      <c r="C396" s="201" t="s">
        <v>492</v>
      </c>
      <c r="D396" s="201" t="s">
        <v>30</v>
      </c>
      <c r="E396" s="202">
        <v>913316.51</v>
      </c>
      <c r="F396" s="202">
        <v>913316.51</v>
      </c>
      <c r="G396" s="202">
        <v>555472.12</v>
      </c>
      <c r="H396" s="202">
        <v>552602.49</v>
      </c>
      <c r="I396" s="203">
        <v>0.60819235601029487</v>
      </c>
      <c r="J396" s="231"/>
    </row>
    <row r="397" spans="1:13" ht="75" outlineLevel="4" x14ac:dyDescent="0.25">
      <c r="A397" s="204" t="s">
        <v>308</v>
      </c>
      <c r="B397" s="201" t="s">
        <v>309</v>
      </c>
      <c r="C397" s="201" t="s">
        <v>492</v>
      </c>
      <c r="D397" s="201" t="s">
        <v>30</v>
      </c>
      <c r="E397" s="202">
        <v>913316.51</v>
      </c>
      <c r="F397" s="202">
        <v>913316.51</v>
      </c>
      <c r="G397" s="202">
        <v>555472.12</v>
      </c>
      <c r="H397" s="202">
        <v>552602.49</v>
      </c>
      <c r="I397" s="203">
        <v>0.60819235601029487</v>
      </c>
      <c r="J397" s="231"/>
    </row>
    <row r="398" spans="1:13" ht="30" outlineLevel="3" x14ac:dyDescent="0.25">
      <c r="A398" s="204" t="s">
        <v>493</v>
      </c>
      <c r="B398" s="201"/>
      <c r="C398" s="201" t="s">
        <v>494</v>
      </c>
      <c r="D398" s="201" t="s">
        <v>30</v>
      </c>
      <c r="E398" s="202">
        <v>1281000</v>
      </c>
      <c r="F398" s="202">
        <v>1281000</v>
      </c>
      <c r="G398" s="202">
        <v>1138638.17</v>
      </c>
      <c r="H398" s="202">
        <v>1138638.17</v>
      </c>
      <c r="I398" s="203">
        <v>0.8888666432474629</v>
      </c>
      <c r="J398" s="231"/>
    </row>
    <row r="399" spans="1:13" ht="75" outlineLevel="4" x14ac:dyDescent="0.25">
      <c r="A399" s="204" t="s">
        <v>308</v>
      </c>
      <c r="B399" s="201" t="s">
        <v>309</v>
      </c>
      <c r="C399" s="201" t="s">
        <v>494</v>
      </c>
      <c r="D399" s="201" t="s">
        <v>30</v>
      </c>
      <c r="E399" s="202">
        <v>1281000</v>
      </c>
      <c r="F399" s="202">
        <v>1281000</v>
      </c>
      <c r="G399" s="202">
        <v>1138638.17</v>
      </c>
      <c r="H399" s="202">
        <v>1138638.17</v>
      </c>
      <c r="I399" s="203">
        <v>0.8888666432474629</v>
      </c>
      <c r="J399" s="231"/>
    </row>
    <row r="400" spans="1:13" ht="30" outlineLevel="3" x14ac:dyDescent="0.25">
      <c r="A400" s="204" t="s">
        <v>224</v>
      </c>
      <c r="B400" s="201"/>
      <c r="C400" s="201" t="s">
        <v>495</v>
      </c>
      <c r="D400" s="201" t="s">
        <v>30</v>
      </c>
      <c r="E400" s="202">
        <v>90250</v>
      </c>
      <c r="F400" s="202">
        <v>90250</v>
      </c>
      <c r="G400" s="202">
        <v>90250</v>
      </c>
      <c r="H400" s="202">
        <v>90250</v>
      </c>
      <c r="I400" s="203">
        <v>1</v>
      </c>
      <c r="J400" s="231"/>
    </row>
    <row r="401" spans="1:10" ht="75" outlineLevel="4" x14ac:dyDescent="0.25">
      <c r="A401" s="204" t="s">
        <v>308</v>
      </c>
      <c r="B401" s="201" t="s">
        <v>309</v>
      </c>
      <c r="C401" s="201" t="s">
        <v>495</v>
      </c>
      <c r="D401" s="201" t="s">
        <v>30</v>
      </c>
      <c r="E401" s="202">
        <v>90250</v>
      </c>
      <c r="F401" s="202">
        <v>90250</v>
      </c>
      <c r="G401" s="202">
        <v>90250</v>
      </c>
      <c r="H401" s="202">
        <v>90250</v>
      </c>
      <c r="I401" s="203">
        <v>1</v>
      </c>
      <c r="J401" s="231"/>
    </row>
    <row r="402" spans="1:10" ht="60" outlineLevel="3" x14ac:dyDescent="0.25">
      <c r="A402" s="204" t="s">
        <v>496</v>
      </c>
      <c r="B402" s="201"/>
      <c r="C402" s="201" t="s">
        <v>497</v>
      </c>
      <c r="D402" s="201" t="s">
        <v>34</v>
      </c>
      <c r="E402" s="202">
        <v>2211088</v>
      </c>
      <c r="F402" s="202">
        <v>2211088</v>
      </c>
      <c r="G402" s="202">
        <v>1592608.7</v>
      </c>
      <c r="H402" s="202">
        <v>1592608.7</v>
      </c>
      <c r="I402" s="203">
        <v>0.7202828200415361</v>
      </c>
      <c r="J402" s="231"/>
    </row>
    <row r="403" spans="1:10" ht="75" outlineLevel="4" x14ac:dyDescent="0.25">
      <c r="A403" s="204" t="s">
        <v>308</v>
      </c>
      <c r="B403" s="201" t="s">
        <v>309</v>
      </c>
      <c r="C403" s="201" t="s">
        <v>497</v>
      </c>
      <c r="D403" s="201" t="s">
        <v>34</v>
      </c>
      <c r="E403" s="202">
        <v>2211088</v>
      </c>
      <c r="F403" s="202">
        <v>2211088</v>
      </c>
      <c r="G403" s="202">
        <v>1592608.7</v>
      </c>
      <c r="H403" s="202">
        <v>1592608.7</v>
      </c>
      <c r="I403" s="203">
        <v>0.7202828200415361</v>
      </c>
      <c r="J403" s="231"/>
    </row>
    <row r="404" spans="1:10" ht="60" outlineLevel="3" x14ac:dyDescent="0.25">
      <c r="A404" s="204" t="s">
        <v>498</v>
      </c>
      <c r="B404" s="201"/>
      <c r="C404" s="201" t="s">
        <v>499</v>
      </c>
      <c r="D404" s="201" t="s">
        <v>32</v>
      </c>
      <c r="E404" s="202">
        <v>28397.5</v>
      </c>
      <c r="F404" s="202">
        <v>28397.5</v>
      </c>
      <c r="G404" s="202">
        <v>18458.38</v>
      </c>
      <c r="H404" s="202">
        <v>18458.38</v>
      </c>
      <c r="I404" s="203">
        <v>0.65000017607183735</v>
      </c>
      <c r="J404" s="231"/>
    </row>
    <row r="405" spans="1:10" ht="75" outlineLevel="4" x14ac:dyDescent="0.25">
      <c r="A405" s="204" t="s">
        <v>308</v>
      </c>
      <c r="B405" s="201" t="s">
        <v>309</v>
      </c>
      <c r="C405" s="201" t="s">
        <v>499</v>
      </c>
      <c r="D405" s="201" t="s">
        <v>32</v>
      </c>
      <c r="E405" s="202">
        <v>28397.5</v>
      </c>
      <c r="F405" s="202">
        <v>28397.5</v>
      </c>
      <c r="G405" s="202">
        <v>18458.38</v>
      </c>
      <c r="H405" s="202">
        <v>18458.38</v>
      </c>
      <c r="I405" s="203">
        <v>0.65000017607183735</v>
      </c>
      <c r="J405" s="231"/>
    </row>
    <row r="406" spans="1:10" ht="105" outlineLevel="3" x14ac:dyDescent="0.25">
      <c r="A406" s="204" t="s">
        <v>500</v>
      </c>
      <c r="B406" s="201"/>
      <c r="C406" s="201" t="s">
        <v>501</v>
      </c>
      <c r="D406" s="201" t="s">
        <v>32</v>
      </c>
      <c r="E406" s="202">
        <v>526400</v>
      </c>
      <c r="F406" s="202">
        <v>526400</v>
      </c>
      <c r="G406" s="202">
        <v>207427.20000000001</v>
      </c>
      <c r="H406" s="202">
        <v>207427.20000000001</v>
      </c>
      <c r="I406" s="203">
        <v>0.39404863221884501</v>
      </c>
      <c r="J406" s="231"/>
    </row>
    <row r="407" spans="1:10" ht="75" outlineLevel="4" x14ac:dyDescent="0.25">
      <c r="A407" s="204" t="s">
        <v>308</v>
      </c>
      <c r="B407" s="201" t="s">
        <v>309</v>
      </c>
      <c r="C407" s="201" t="s">
        <v>501</v>
      </c>
      <c r="D407" s="201" t="s">
        <v>32</v>
      </c>
      <c r="E407" s="202">
        <v>526400</v>
      </c>
      <c r="F407" s="202">
        <v>526400</v>
      </c>
      <c r="G407" s="202">
        <v>207427.20000000001</v>
      </c>
      <c r="H407" s="202">
        <v>207427.20000000001</v>
      </c>
      <c r="I407" s="203">
        <v>0.39404863221884501</v>
      </c>
      <c r="J407" s="231"/>
    </row>
    <row r="408" spans="1:10" ht="120" outlineLevel="3" x14ac:dyDescent="0.25">
      <c r="A408" s="204" t="s">
        <v>502</v>
      </c>
      <c r="B408" s="201"/>
      <c r="C408" s="201" t="s">
        <v>503</v>
      </c>
      <c r="D408" s="201" t="s">
        <v>32</v>
      </c>
      <c r="E408" s="202">
        <v>37799</v>
      </c>
      <c r="F408" s="202">
        <v>37799</v>
      </c>
      <c r="G408" s="202">
        <v>20693.77</v>
      </c>
      <c r="H408" s="202">
        <v>20693.77</v>
      </c>
      <c r="I408" s="203">
        <v>0.54746871610360059</v>
      </c>
      <c r="J408" s="231"/>
    </row>
    <row r="409" spans="1:10" ht="75" outlineLevel="4" x14ac:dyDescent="0.25">
      <c r="A409" s="204" t="s">
        <v>308</v>
      </c>
      <c r="B409" s="201" t="s">
        <v>309</v>
      </c>
      <c r="C409" s="201" t="s">
        <v>503</v>
      </c>
      <c r="D409" s="201" t="s">
        <v>32</v>
      </c>
      <c r="E409" s="202">
        <v>37799</v>
      </c>
      <c r="F409" s="202">
        <v>37799</v>
      </c>
      <c r="G409" s="202">
        <v>20693.77</v>
      </c>
      <c r="H409" s="202">
        <v>20693.77</v>
      </c>
      <c r="I409" s="203">
        <v>0.54746871610360059</v>
      </c>
      <c r="J409" s="231"/>
    </row>
    <row r="410" spans="1:10" ht="120" outlineLevel="3" x14ac:dyDescent="0.25">
      <c r="A410" s="204" t="s">
        <v>504</v>
      </c>
      <c r="B410" s="201"/>
      <c r="C410" s="201" t="s">
        <v>505</v>
      </c>
      <c r="D410" s="201" t="s">
        <v>32</v>
      </c>
      <c r="E410" s="202">
        <v>228400</v>
      </c>
      <c r="F410" s="202">
        <v>228400</v>
      </c>
      <c r="G410" s="202">
        <v>121434</v>
      </c>
      <c r="H410" s="202">
        <v>121434</v>
      </c>
      <c r="I410" s="203">
        <v>0.53167250437828373</v>
      </c>
      <c r="J410" s="231"/>
    </row>
    <row r="411" spans="1:10" ht="75" outlineLevel="4" x14ac:dyDescent="0.25">
      <c r="A411" s="204" t="s">
        <v>308</v>
      </c>
      <c r="B411" s="201" t="s">
        <v>309</v>
      </c>
      <c r="C411" s="201" t="s">
        <v>505</v>
      </c>
      <c r="D411" s="201" t="s">
        <v>32</v>
      </c>
      <c r="E411" s="202">
        <v>228400</v>
      </c>
      <c r="F411" s="202">
        <v>228400</v>
      </c>
      <c r="G411" s="202">
        <v>121434</v>
      </c>
      <c r="H411" s="202">
        <v>121434</v>
      </c>
      <c r="I411" s="203">
        <v>0.53167250437828373</v>
      </c>
      <c r="J411" s="231"/>
    </row>
    <row r="412" spans="1:10" ht="150" outlineLevel="3" x14ac:dyDescent="0.25">
      <c r="A412" s="204" t="s">
        <v>506</v>
      </c>
      <c r="B412" s="201"/>
      <c r="C412" s="201" t="s">
        <v>507</v>
      </c>
      <c r="D412" s="201" t="s">
        <v>32</v>
      </c>
      <c r="E412" s="202">
        <v>6000</v>
      </c>
      <c r="F412" s="202">
        <v>0</v>
      </c>
      <c r="G412" s="202">
        <v>0</v>
      </c>
      <c r="H412" s="202">
        <v>0</v>
      </c>
      <c r="I412" s="203">
        <v>0</v>
      </c>
      <c r="J412" s="231"/>
    </row>
    <row r="413" spans="1:10" ht="75" outlineLevel="4" x14ac:dyDescent="0.25">
      <c r="A413" s="204" t="s">
        <v>308</v>
      </c>
      <c r="B413" s="201" t="s">
        <v>309</v>
      </c>
      <c r="C413" s="201" t="s">
        <v>507</v>
      </c>
      <c r="D413" s="201" t="s">
        <v>32</v>
      </c>
      <c r="E413" s="202">
        <v>6000</v>
      </c>
      <c r="F413" s="202">
        <v>0</v>
      </c>
      <c r="G413" s="202">
        <v>0</v>
      </c>
      <c r="H413" s="202">
        <v>0</v>
      </c>
      <c r="I413" s="203">
        <v>0</v>
      </c>
      <c r="J413" s="231"/>
    </row>
    <row r="414" spans="1:10" ht="45" outlineLevel="3" x14ac:dyDescent="0.25">
      <c r="A414" s="204" t="s">
        <v>508</v>
      </c>
      <c r="B414" s="201"/>
      <c r="C414" s="201" t="s">
        <v>509</v>
      </c>
      <c r="D414" s="201" t="s">
        <v>32</v>
      </c>
      <c r="E414" s="202">
        <v>911916</v>
      </c>
      <c r="F414" s="202">
        <v>911916</v>
      </c>
      <c r="G414" s="202">
        <v>696662.44</v>
      </c>
      <c r="H414" s="202">
        <v>696662.44</v>
      </c>
      <c r="I414" s="203">
        <v>0.7639546186271543</v>
      </c>
      <c r="J414" s="231"/>
    </row>
    <row r="415" spans="1:10" ht="75" outlineLevel="4" x14ac:dyDescent="0.25">
      <c r="A415" s="204" t="s">
        <v>308</v>
      </c>
      <c r="B415" s="201" t="s">
        <v>309</v>
      </c>
      <c r="C415" s="201" t="s">
        <v>509</v>
      </c>
      <c r="D415" s="201" t="s">
        <v>32</v>
      </c>
      <c r="E415" s="202">
        <v>911916</v>
      </c>
      <c r="F415" s="202">
        <v>911916</v>
      </c>
      <c r="G415" s="202">
        <v>696662.44</v>
      </c>
      <c r="H415" s="202">
        <v>696662.44</v>
      </c>
      <c r="I415" s="203">
        <v>0.7639546186271543</v>
      </c>
      <c r="J415" s="231"/>
    </row>
    <row r="416" spans="1:10" ht="60" outlineLevel="3" x14ac:dyDescent="0.25">
      <c r="A416" s="204" t="s">
        <v>510</v>
      </c>
      <c r="B416" s="201"/>
      <c r="C416" s="201" t="s">
        <v>511</v>
      </c>
      <c r="D416" s="201" t="s">
        <v>32</v>
      </c>
      <c r="E416" s="202">
        <v>2148000</v>
      </c>
      <c r="F416" s="202">
        <v>2148000</v>
      </c>
      <c r="G416" s="202">
        <v>1425636.56</v>
      </c>
      <c r="H416" s="202">
        <v>1425636.56</v>
      </c>
      <c r="I416" s="203">
        <v>0.6637041713221602</v>
      </c>
      <c r="J416" s="231"/>
    </row>
    <row r="417" spans="1:10" ht="75" outlineLevel="4" x14ac:dyDescent="0.25">
      <c r="A417" s="204" t="s">
        <v>308</v>
      </c>
      <c r="B417" s="201" t="s">
        <v>309</v>
      </c>
      <c r="C417" s="201" t="s">
        <v>511</v>
      </c>
      <c r="D417" s="201" t="s">
        <v>32</v>
      </c>
      <c r="E417" s="202">
        <v>2148000</v>
      </c>
      <c r="F417" s="202">
        <v>2148000</v>
      </c>
      <c r="G417" s="202">
        <v>1425636.56</v>
      </c>
      <c r="H417" s="202">
        <v>1425636.56</v>
      </c>
      <c r="I417" s="203">
        <v>0.6637041713221602</v>
      </c>
      <c r="J417" s="231"/>
    </row>
    <row r="418" spans="1:10" ht="90" outlineLevel="3" x14ac:dyDescent="0.25">
      <c r="A418" s="204" t="s">
        <v>512</v>
      </c>
      <c r="B418" s="201"/>
      <c r="C418" s="201" t="s">
        <v>513</v>
      </c>
      <c r="D418" s="201" t="s">
        <v>32</v>
      </c>
      <c r="E418" s="202">
        <v>107400</v>
      </c>
      <c r="F418" s="202">
        <v>0</v>
      </c>
      <c r="G418" s="202">
        <v>0</v>
      </c>
      <c r="H418" s="202">
        <v>0</v>
      </c>
      <c r="I418" s="203">
        <v>0</v>
      </c>
      <c r="J418" s="231"/>
    </row>
    <row r="419" spans="1:10" ht="75" outlineLevel="4" x14ac:dyDescent="0.25">
      <c r="A419" s="204" t="s">
        <v>308</v>
      </c>
      <c r="B419" s="201" t="s">
        <v>309</v>
      </c>
      <c r="C419" s="201" t="s">
        <v>513</v>
      </c>
      <c r="D419" s="201" t="s">
        <v>32</v>
      </c>
      <c r="E419" s="202">
        <v>107400</v>
      </c>
      <c r="F419" s="202">
        <v>0</v>
      </c>
      <c r="G419" s="202">
        <v>0</v>
      </c>
      <c r="H419" s="202">
        <v>0</v>
      </c>
      <c r="I419" s="203">
        <v>0</v>
      </c>
      <c r="J419" s="231"/>
    </row>
    <row r="420" spans="1:10" ht="90" outlineLevel="3" x14ac:dyDescent="0.25">
      <c r="A420" s="204" t="s">
        <v>514</v>
      </c>
      <c r="B420" s="201"/>
      <c r="C420" s="201" t="s">
        <v>515</v>
      </c>
      <c r="D420" s="201" t="s">
        <v>30</v>
      </c>
      <c r="E420" s="202">
        <v>2302.5</v>
      </c>
      <c r="F420" s="202">
        <v>2302.5</v>
      </c>
      <c r="G420" s="202">
        <v>1496.62</v>
      </c>
      <c r="H420" s="202">
        <v>1496.62</v>
      </c>
      <c r="I420" s="203">
        <v>0.64999782844733989</v>
      </c>
      <c r="J420" s="231"/>
    </row>
    <row r="421" spans="1:10" ht="75" outlineLevel="4" x14ac:dyDescent="0.25">
      <c r="A421" s="204" t="s">
        <v>308</v>
      </c>
      <c r="B421" s="201" t="s">
        <v>309</v>
      </c>
      <c r="C421" s="201" t="s">
        <v>515</v>
      </c>
      <c r="D421" s="201" t="s">
        <v>30</v>
      </c>
      <c r="E421" s="202">
        <v>2302.5</v>
      </c>
      <c r="F421" s="202">
        <v>2302.5</v>
      </c>
      <c r="G421" s="202">
        <v>1496.62</v>
      </c>
      <c r="H421" s="202">
        <v>1496.62</v>
      </c>
      <c r="I421" s="203">
        <v>0.64999782844733989</v>
      </c>
      <c r="J421" s="231"/>
    </row>
    <row r="422" spans="1:10" ht="45" outlineLevel="1" x14ac:dyDescent="0.25">
      <c r="A422" s="200" t="s">
        <v>516</v>
      </c>
      <c r="B422" s="201"/>
      <c r="C422" s="201"/>
      <c r="D422" s="201"/>
      <c r="E422" s="202">
        <v>33217470.25</v>
      </c>
      <c r="F422" s="202">
        <v>33217470.25</v>
      </c>
      <c r="G422" s="202">
        <v>23874711.800000001</v>
      </c>
      <c r="H422" s="202">
        <v>23874711.800000001</v>
      </c>
      <c r="I422" s="203">
        <v>0.7187396156394541</v>
      </c>
      <c r="J422" s="231"/>
    </row>
    <row r="423" spans="1:10" ht="90" outlineLevel="2" x14ac:dyDescent="0.25">
      <c r="A423" s="204" t="s">
        <v>517</v>
      </c>
      <c r="B423" s="201"/>
      <c r="C423" s="201"/>
      <c r="D423" s="201"/>
      <c r="E423" s="202">
        <v>33217470.25</v>
      </c>
      <c r="F423" s="202">
        <v>33217470.25</v>
      </c>
      <c r="G423" s="202">
        <v>23874711.800000001</v>
      </c>
      <c r="H423" s="202">
        <v>23874711.800000001</v>
      </c>
      <c r="I423" s="203">
        <v>0.7187396156394541</v>
      </c>
      <c r="J423" s="231"/>
    </row>
    <row r="424" spans="1:10" ht="45" outlineLevel="3" x14ac:dyDescent="0.25">
      <c r="A424" s="204" t="s">
        <v>472</v>
      </c>
      <c r="B424" s="201"/>
      <c r="C424" s="201" t="s">
        <v>518</v>
      </c>
      <c r="D424" s="201" t="s">
        <v>30</v>
      </c>
      <c r="E424" s="202">
        <v>32640502.66</v>
      </c>
      <c r="F424" s="202">
        <v>32640502.66</v>
      </c>
      <c r="G424" s="202">
        <v>23346774.210000001</v>
      </c>
      <c r="H424" s="202">
        <v>23346774.210000001</v>
      </c>
      <c r="I424" s="203">
        <v>0.71527005736375504</v>
      </c>
      <c r="J424" s="231"/>
    </row>
    <row r="425" spans="1:10" ht="75" outlineLevel="4" x14ac:dyDescent="0.25">
      <c r="A425" s="204" t="s">
        <v>308</v>
      </c>
      <c r="B425" s="201" t="s">
        <v>309</v>
      </c>
      <c r="C425" s="201" t="s">
        <v>518</v>
      </c>
      <c r="D425" s="201" t="s">
        <v>30</v>
      </c>
      <c r="E425" s="202">
        <v>32640502.66</v>
      </c>
      <c r="F425" s="202">
        <v>32640502.66</v>
      </c>
      <c r="G425" s="202">
        <v>23346774.210000001</v>
      </c>
      <c r="H425" s="202">
        <v>23346774.210000001</v>
      </c>
      <c r="I425" s="203">
        <v>0.71527005736375504</v>
      </c>
      <c r="J425" s="231"/>
    </row>
    <row r="426" spans="1:10" ht="75" outlineLevel="3" x14ac:dyDescent="0.25">
      <c r="A426" s="204" t="s">
        <v>205</v>
      </c>
      <c r="B426" s="201"/>
      <c r="C426" s="201" t="s">
        <v>519</v>
      </c>
      <c r="D426" s="201" t="s">
        <v>30</v>
      </c>
      <c r="E426" s="202">
        <v>515437.59</v>
      </c>
      <c r="F426" s="202">
        <v>515437.59</v>
      </c>
      <c r="G426" s="202">
        <v>515437.59</v>
      </c>
      <c r="H426" s="202">
        <v>515437.59</v>
      </c>
      <c r="I426" s="203">
        <v>1</v>
      </c>
      <c r="J426" s="231"/>
    </row>
    <row r="427" spans="1:10" ht="75" outlineLevel="4" x14ac:dyDescent="0.25">
      <c r="A427" s="204" t="s">
        <v>308</v>
      </c>
      <c r="B427" s="201" t="s">
        <v>309</v>
      </c>
      <c r="C427" s="201" t="s">
        <v>519</v>
      </c>
      <c r="D427" s="201" t="s">
        <v>30</v>
      </c>
      <c r="E427" s="202">
        <v>515437.59</v>
      </c>
      <c r="F427" s="202">
        <v>515437.59</v>
      </c>
      <c r="G427" s="202">
        <v>515437.59</v>
      </c>
      <c r="H427" s="202">
        <v>515437.59</v>
      </c>
      <c r="I427" s="203">
        <v>1</v>
      </c>
      <c r="J427" s="231"/>
    </row>
    <row r="428" spans="1:10" ht="75" outlineLevel="3" x14ac:dyDescent="0.25">
      <c r="A428" s="204" t="s">
        <v>207</v>
      </c>
      <c r="B428" s="201"/>
      <c r="C428" s="201" t="s">
        <v>520</v>
      </c>
      <c r="D428" s="201" t="s">
        <v>30</v>
      </c>
      <c r="E428" s="202">
        <v>61530</v>
      </c>
      <c r="F428" s="202">
        <v>61530</v>
      </c>
      <c r="G428" s="202">
        <v>12500</v>
      </c>
      <c r="H428" s="202">
        <v>12500</v>
      </c>
      <c r="I428" s="203">
        <v>0.20315293352836014</v>
      </c>
      <c r="J428" s="231"/>
    </row>
    <row r="429" spans="1:10" ht="75" outlineLevel="4" x14ac:dyDescent="0.25">
      <c r="A429" s="204" t="s">
        <v>308</v>
      </c>
      <c r="B429" s="201" t="s">
        <v>309</v>
      </c>
      <c r="C429" s="201" t="s">
        <v>520</v>
      </c>
      <c r="D429" s="201" t="s">
        <v>30</v>
      </c>
      <c r="E429" s="202">
        <v>61530</v>
      </c>
      <c r="F429" s="202">
        <v>61530</v>
      </c>
      <c r="G429" s="202">
        <v>12500</v>
      </c>
      <c r="H429" s="202">
        <v>12500</v>
      </c>
      <c r="I429" s="203">
        <v>0.20315293352836014</v>
      </c>
      <c r="J429" s="231"/>
    </row>
    <row r="430" spans="1:10" ht="30" outlineLevel="1" x14ac:dyDescent="0.25">
      <c r="A430" s="200" t="s">
        <v>521</v>
      </c>
      <c r="B430" s="201"/>
      <c r="C430" s="201"/>
      <c r="D430" s="201"/>
      <c r="E430" s="202">
        <v>44511770.240000002</v>
      </c>
      <c r="F430" s="202">
        <v>44488126.009999998</v>
      </c>
      <c r="G430" s="202">
        <v>30626391.649999999</v>
      </c>
      <c r="H430" s="202">
        <v>30483822.789999999</v>
      </c>
      <c r="I430" s="203">
        <v>0.68805153074945424</v>
      </c>
      <c r="J430" s="231"/>
    </row>
    <row r="431" spans="1:10" ht="90" outlineLevel="2" x14ac:dyDescent="0.25">
      <c r="A431" s="204" t="s">
        <v>522</v>
      </c>
      <c r="B431" s="201"/>
      <c r="C431" s="201"/>
      <c r="D431" s="201"/>
      <c r="E431" s="202">
        <v>44511770.240000002</v>
      </c>
      <c r="F431" s="202">
        <v>44488126.009999998</v>
      </c>
      <c r="G431" s="202">
        <v>30626391.649999999</v>
      </c>
      <c r="H431" s="202">
        <v>30483822.789999999</v>
      </c>
      <c r="I431" s="203">
        <v>0.68805153074945424</v>
      </c>
      <c r="J431" s="231"/>
    </row>
    <row r="432" spans="1:10" ht="45" outlineLevel="3" x14ac:dyDescent="0.25">
      <c r="A432" s="204" t="s">
        <v>472</v>
      </c>
      <c r="B432" s="201"/>
      <c r="C432" s="201" t="s">
        <v>523</v>
      </c>
      <c r="D432" s="201" t="s">
        <v>30</v>
      </c>
      <c r="E432" s="202">
        <v>30217194.93</v>
      </c>
      <c r="F432" s="202">
        <v>30206223.27</v>
      </c>
      <c r="G432" s="202">
        <v>22734574.460000001</v>
      </c>
      <c r="H432" s="202">
        <v>22617627.289999999</v>
      </c>
      <c r="I432" s="203">
        <v>0.75237210180051617</v>
      </c>
      <c r="J432" s="231"/>
    </row>
    <row r="433" spans="1:10" ht="75" outlineLevel="4" x14ac:dyDescent="0.25">
      <c r="A433" s="204" t="s">
        <v>308</v>
      </c>
      <c r="B433" s="201" t="s">
        <v>309</v>
      </c>
      <c r="C433" s="201" t="s">
        <v>523</v>
      </c>
      <c r="D433" s="201" t="s">
        <v>30</v>
      </c>
      <c r="E433" s="202">
        <v>30217194.93</v>
      </c>
      <c r="F433" s="202">
        <v>30206223.27</v>
      </c>
      <c r="G433" s="202">
        <v>22734574.460000001</v>
      </c>
      <c r="H433" s="202">
        <v>22617627.289999999</v>
      </c>
      <c r="I433" s="203">
        <v>0.75237210180051617</v>
      </c>
      <c r="J433" s="231"/>
    </row>
    <row r="434" spans="1:10" ht="75" outlineLevel="3" x14ac:dyDescent="0.25">
      <c r="A434" s="204" t="s">
        <v>205</v>
      </c>
      <c r="B434" s="201"/>
      <c r="C434" s="201" t="s">
        <v>524</v>
      </c>
      <c r="D434" s="201" t="s">
        <v>30</v>
      </c>
      <c r="E434" s="202">
        <v>301110.28000000003</v>
      </c>
      <c r="F434" s="202">
        <v>301110.28000000003</v>
      </c>
      <c r="G434" s="202">
        <v>301110.28000000003</v>
      </c>
      <c r="H434" s="202">
        <v>295963.28000000003</v>
      </c>
      <c r="I434" s="203">
        <v>1</v>
      </c>
      <c r="J434" s="231"/>
    </row>
    <row r="435" spans="1:10" ht="75" outlineLevel="4" x14ac:dyDescent="0.25">
      <c r="A435" s="204" t="s">
        <v>308</v>
      </c>
      <c r="B435" s="201" t="s">
        <v>309</v>
      </c>
      <c r="C435" s="201" t="s">
        <v>524</v>
      </c>
      <c r="D435" s="201" t="s">
        <v>30</v>
      </c>
      <c r="E435" s="202">
        <v>301110.28000000003</v>
      </c>
      <c r="F435" s="202">
        <v>301110.28000000003</v>
      </c>
      <c r="G435" s="202">
        <v>301110.28000000003</v>
      </c>
      <c r="H435" s="202">
        <v>295963.28000000003</v>
      </c>
      <c r="I435" s="203">
        <v>1</v>
      </c>
      <c r="J435" s="231"/>
    </row>
    <row r="436" spans="1:10" ht="105" outlineLevel="3" x14ac:dyDescent="0.25">
      <c r="A436" s="204" t="s">
        <v>230</v>
      </c>
      <c r="B436" s="201"/>
      <c r="C436" s="201" t="s">
        <v>525</v>
      </c>
      <c r="D436" s="201" t="s">
        <v>30</v>
      </c>
      <c r="E436" s="202">
        <v>85289</v>
      </c>
      <c r="F436" s="202">
        <v>85289</v>
      </c>
      <c r="G436" s="202">
        <v>85289</v>
      </c>
      <c r="H436" s="202">
        <v>85289</v>
      </c>
      <c r="I436" s="203">
        <v>1</v>
      </c>
      <c r="J436" s="231"/>
    </row>
    <row r="437" spans="1:10" ht="75" outlineLevel="4" x14ac:dyDescent="0.25">
      <c r="A437" s="204" t="s">
        <v>308</v>
      </c>
      <c r="B437" s="201" t="s">
        <v>309</v>
      </c>
      <c r="C437" s="201" t="s">
        <v>525</v>
      </c>
      <c r="D437" s="201" t="s">
        <v>30</v>
      </c>
      <c r="E437" s="202">
        <v>85289</v>
      </c>
      <c r="F437" s="202">
        <v>85289</v>
      </c>
      <c r="G437" s="202">
        <v>85289</v>
      </c>
      <c r="H437" s="202">
        <v>85289</v>
      </c>
      <c r="I437" s="203">
        <v>1</v>
      </c>
      <c r="J437" s="231"/>
    </row>
    <row r="438" spans="1:10" ht="75" outlineLevel="3" x14ac:dyDescent="0.25">
      <c r="A438" s="204" t="s">
        <v>207</v>
      </c>
      <c r="B438" s="201"/>
      <c r="C438" s="201" t="s">
        <v>526</v>
      </c>
      <c r="D438" s="201" t="s">
        <v>30</v>
      </c>
      <c r="E438" s="202">
        <v>65000</v>
      </c>
      <c r="F438" s="202">
        <v>65000</v>
      </c>
      <c r="G438" s="202">
        <v>37340</v>
      </c>
      <c r="H438" s="202">
        <v>30490</v>
      </c>
      <c r="I438" s="203">
        <v>0.57446153846153847</v>
      </c>
      <c r="J438" s="231"/>
    </row>
    <row r="439" spans="1:10" ht="75" outlineLevel="4" x14ac:dyDescent="0.25">
      <c r="A439" s="204" t="s">
        <v>308</v>
      </c>
      <c r="B439" s="201" t="s">
        <v>309</v>
      </c>
      <c r="C439" s="201" t="s">
        <v>526</v>
      </c>
      <c r="D439" s="201" t="s">
        <v>30</v>
      </c>
      <c r="E439" s="202">
        <v>65000</v>
      </c>
      <c r="F439" s="202">
        <v>65000</v>
      </c>
      <c r="G439" s="202">
        <v>37340</v>
      </c>
      <c r="H439" s="202">
        <v>30490</v>
      </c>
      <c r="I439" s="203">
        <v>0.57446153846153847</v>
      </c>
      <c r="J439" s="231"/>
    </row>
    <row r="440" spans="1:10" ht="30" outlineLevel="3" x14ac:dyDescent="0.25">
      <c r="A440" s="204" t="s">
        <v>224</v>
      </c>
      <c r="B440" s="201"/>
      <c r="C440" s="201" t="s">
        <v>527</v>
      </c>
      <c r="D440" s="201" t="s">
        <v>30</v>
      </c>
      <c r="E440" s="202">
        <v>13843176.029999999</v>
      </c>
      <c r="F440" s="202">
        <v>13830503.460000001</v>
      </c>
      <c r="G440" s="202">
        <v>7468077.9100000001</v>
      </c>
      <c r="H440" s="202">
        <v>7454453.2199999997</v>
      </c>
      <c r="I440" s="203">
        <v>0.53947720478419725</v>
      </c>
      <c r="J440" s="231"/>
    </row>
    <row r="441" spans="1:10" ht="75" outlineLevel="4" x14ac:dyDescent="0.25">
      <c r="A441" s="204" t="s">
        <v>308</v>
      </c>
      <c r="B441" s="201" t="s">
        <v>309</v>
      </c>
      <c r="C441" s="201" t="s">
        <v>527</v>
      </c>
      <c r="D441" s="201" t="s">
        <v>30</v>
      </c>
      <c r="E441" s="202">
        <v>13843176.029999999</v>
      </c>
      <c r="F441" s="202">
        <v>13830503.460000001</v>
      </c>
      <c r="G441" s="202">
        <v>7468077.9100000001</v>
      </c>
      <c r="H441" s="202">
        <v>7454453.2199999997</v>
      </c>
      <c r="I441" s="203">
        <v>0.53947720478419725</v>
      </c>
      <c r="J441" s="231"/>
    </row>
    <row r="442" spans="1:10" ht="30" outlineLevel="1" x14ac:dyDescent="0.25">
      <c r="A442" s="200" t="s">
        <v>528</v>
      </c>
      <c r="B442" s="201"/>
      <c r="C442" s="201"/>
      <c r="D442" s="201"/>
      <c r="E442" s="202">
        <v>25478473.390000001</v>
      </c>
      <c r="F442" s="202">
        <v>25478473.390000001</v>
      </c>
      <c r="G442" s="202">
        <v>18292880.300000001</v>
      </c>
      <c r="H442" s="202">
        <v>18292880.300000001</v>
      </c>
      <c r="I442" s="203">
        <v>0.7179739547181716</v>
      </c>
      <c r="J442" s="231"/>
    </row>
    <row r="443" spans="1:10" ht="45" outlineLevel="2" x14ac:dyDescent="0.25">
      <c r="A443" s="204" t="s">
        <v>529</v>
      </c>
      <c r="B443" s="201"/>
      <c r="C443" s="201"/>
      <c r="D443" s="201"/>
      <c r="E443" s="202">
        <v>25478473.390000001</v>
      </c>
      <c r="F443" s="202">
        <v>25478473.390000001</v>
      </c>
      <c r="G443" s="202">
        <v>18292880.300000001</v>
      </c>
      <c r="H443" s="202">
        <v>18292880.300000001</v>
      </c>
      <c r="I443" s="203">
        <v>0.7179739547181716</v>
      </c>
      <c r="J443" s="231"/>
    </row>
    <row r="444" spans="1:10" ht="60" outlineLevel="3" x14ac:dyDescent="0.25">
      <c r="A444" s="204" t="s">
        <v>201</v>
      </c>
      <c r="B444" s="201"/>
      <c r="C444" s="201" t="s">
        <v>530</v>
      </c>
      <c r="D444" s="201" t="s">
        <v>30</v>
      </c>
      <c r="E444" s="202">
        <v>25074766.469999999</v>
      </c>
      <c r="F444" s="202">
        <v>25074766.469999999</v>
      </c>
      <c r="G444" s="202">
        <v>18047380.300000001</v>
      </c>
      <c r="H444" s="202">
        <v>18047380.300000001</v>
      </c>
      <c r="I444" s="203">
        <v>0.71974270713915844</v>
      </c>
      <c r="J444" s="231"/>
    </row>
    <row r="445" spans="1:10" ht="75" outlineLevel="4" x14ac:dyDescent="0.25">
      <c r="A445" s="204" t="s">
        <v>308</v>
      </c>
      <c r="B445" s="201" t="s">
        <v>309</v>
      </c>
      <c r="C445" s="201" t="s">
        <v>530</v>
      </c>
      <c r="D445" s="201" t="s">
        <v>30</v>
      </c>
      <c r="E445" s="202">
        <v>25074766.469999999</v>
      </c>
      <c r="F445" s="202">
        <v>25074766.469999999</v>
      </c>
      <c r="G445" s="202">
        <v>18047380.300000001</v>
      </c>
      <c r="H445" s="202">
        <v>18047380.300000001</v>
      </c>
      <c r="I445" s="203">
        <v>0.71974270713915844</v>
      </c>
      <c r="J445" s="231"/>
    </row>
    <row r="446" spans="1:10" ht="75" outlineLevel="3" x14ac:dyDescent="0.25">
      <c r="A446" s="204" t="s">
        <v>205</v>
      </c>
      <c r="B446" s="201"/>
      <c r="C446" s="201" t="s">
        <v>531</v>
      </c>
      <c r="D446" s="201" t="s">
        <v>30</v>
      </c>
      <c r="E446" s="202">
        <v>386206.92</v>
      </c>
      <c r="F446" s="202">
        <v>386206.92</v>
      </c>
      <c r="G446" s="202">
        <v>228000</v>
      </c>
      <c r="H446" s="202">
        <v>228000</v>
      </c>
      <c r="I446" s="203">
        <v>0.59035710701403277</v>
      </c>
      <c r="J446" s="231"/>
    </row>
    <row r="447" spans="1:10" ht="75" outlineLevel="4" x14ac:dyDescent="0.25">
      <c r="A447" s="204" t="s">
        <v>308</v>
      </c>
      <c r="B447" s="201" t="s">
        <v>309</v>
      </c>
      <c r="C447" s="201" t="s">
        <v>531</v>
      </c>
      <c r="D447" s="201" t="s">
        <v>30</v>
      </c>
      <c r="E447" s="202">
        <v>386206.92</v>
      </c>
      <c r="F447" s="202">
        <v>386206.92</v>
      </c>
      <c r="G447" s="202">
        <v>228000</v>
      </c>
      <c r="H447" s="202">
        <v>228000</v>
      </c>
      <c r="I447" s="203">
        <v>0.59035710701403277</v>
      </c>
      <c r="J447" s="231"/>
    </row>
    <row r="448" spans="1:10" ht="75" outlineLevel="3" x14ac:dyDescent="0.25">
      <c r="A448" s="204" t="s">
        <v>207</v>
      </c>
      <c r="B448" s="201"/>
      <c r="C448" s="201" t="s">
        <v>532</v>
      </c>
      <c r="D448" s="201" t="s">
        <v>30</v>
      </c>
      <c r="E448" s="202">
        <v>17500</v>
      </c>
      <c r="F448" s="202">
        <v>17500</v>
      </c>
      <c r="G448" s="202">
        <v>17500</v>
      </c>
      <c r="H448" s="202">
        <v>17500</v>
      </c>
      <c r="I448" s="203">
        <v>1</v>
      </c>
      <c r="J448" s="231"/>
    </row>
    <row r="449" spans="1:10" ht="75" outlineLevel="4" x14ac:dyDescent="0.25">
      <c r="A449" s="204" t="s">
        <v>308</v>
      </c>
      <c r="B449" s="201" t="s">
        <v>309</v>
      </c>
      <c r="C449" s="201" t="s">
        <v>532</v>
      </c>
      <c r="D449" s="201" t="s">
        <v>30</v>
      </c>
      <c r="E449" s="202">
        <v>17500</v>
      </c>
      <c r="F449" s="202">
        <v>17500</v>
      </c>
      <c r="G449" s="202">
        <v>17500</v>
      </c>
      <c r="H449" s="202">
        <v>17500</v>
      </c>
      <c r="I449" s="203">
        <v>1</v>
      </c>
      <c r="J449" s="231"/>
    </row>
    <row r="450" spans="1:10" outlineLevel="1" x14ac:dyDescent="0.25">
      <c r="A450" s="200" t="s">
        <v>533</v>
      </c>
      <c r="B450" s="201"/>
      <c r="C450" s="201"/>
      <c r="D450" s="201"/>
      <c r="E450" s="202">
        <v>8867028.4399999995</v>
      </c>
      <c r="F450" s="202">
        <v>8867028.4399999995</v>
      </c>
      <c r="G450" s="202">
        <v>6385984.5300000003</v>
      </c>
      <c r="H450" s="202">
        <v>6347703.9000000004</v>
      </c>
      <c r="I450" s="203">
        <v>0.72019443415701956</v>
      </c>
      <c r="J450" s="231"/>
    </row>
    <row r="451" spans="1:10" ht="45" outlineLevel="2" x14ac:dyDescent="0.25">
      <c r="A451" s="204" t="s">
        <v>534</v>
      </c>
      <c r="B451" s="201"/>
      <c r="C451" s="201"/>
      <c r="D451" s="201"/>
      <c r="E451" s="202">
        <v>8867028.4399999995</v>
      </c>
      <c r="F451" s="202">
        <v>8867028.4399999995</v>
      </c>
      <c r="G451" s="202">
        <v>6385984.5300000003</v>
      </c>
      <c r="H451" s="202">
        <v>6347703.9000000004</v>
      </c>
      <c r="I451" s="203">
        <v>0.72019443415701956</v>
      </c>
      <c r="J451" s="231"/>
    </row>
    <row r="452" spans="1:10" ht="45" outlineLevel="3" x14ac:dyDescent="0.25">
      <c r="A452" s="204" t="s">
        <v>472</v>
      </c>
      <c r="B452" s="201"/>
      <c r="C452" s="201" t="s">
        <v>535</v>
      </c>
      <c r="D452" s="201" t="s">
        <v>30</v>
      </c>
      <c r="E452" s="202">
        <v>8548822.4399999995</v>
      </c>
      <c r="F452" s="202">
        <v>8548822.4399999995</v>
      </c>
      <c r="G452" s="202">
        <v>6152216.3200000003</v>
      </c>
      <c r="H452" s="202">
        <v>6113935.6900000004</v>
      </c>
      <c r="I452" s="203">
        <v>0.71965657997687926</v>
      </c>
      <c r="J452" s="231"/>
    </row>
    <row r="453" spans="1:10" ht="75" outlineLevel="4" x14ac:dyDescent="0.25">
      <c r="A453" s="204" t="s">
        <v>308</v>
      </c>
      <c r="B453" s="201" t="s">
        <v>309</v>
      </c>
      <c r="C453" s="201" t="s">
        <v>535</v>
      </c>
      <c r="D453" s="201" t="s">
        <v>30</v>
      </c>
      <c r="E453" s="202">
        <v>8548822.4399999995</v>
      </c>
      <c r="F453" s="202">
        <v>8548822.4399999995</v>
      </c>
      <c r="G453" s="202">
        <v>6152216.3200000003</v>
      </c>
      <c r="H453" s="202">
        <v>6113935.6900000004</v>
      </c>
      <c r="I453" s="203">
        <v>0.71965657997687926</v>
      </c>
      <c r="J453" s="231"/>
    </row>
    <row r="454" spans="1:10" ht="75" outlineLevel="3" x14ac:dyDescent="0.25">
      <c r="A454" s="204" t="s">
        <v>205</v>
      </c>
      <c r="B454" s="201"/>
      <c r="C454" s="201" t="s">
        <v>536</v>
      </c>
      <c r="D454" s="201" t="s">
        <v>30</v>
      </c>
      <c r="E454" s="202">
        <v>272006</v>
      </c>
      <c r="F454" s="202">
        <v>272006</v>
      </c>
      <c r="G454" s="202">
        <v>189868.21</v>
      </c>
      <c r="H454" s="202">
        <v>189868.21</v>
      </c>
      <c r="I454" s="203">
        <v>0.69802949199650011</v>
      </c>
      <c r="J454" s="231"/>
    </row>
    <row r="455" spans="1:10" ht="75" outlineLevel="4" x14ac:dyDescent="0.25">
      <c r="A455" s="204" t="s">
        <v>308</v>
      </c>
      <c r="B455" s="201" t="s">
        <v>309</v>
      </c>
      <c r="C455" s="201" t="s">
        <v>536</v>
      </c>
      <c r="D455" s="201" t="s">
        <v>30</v>
      </c>
      <c r="E455" s="202">
        <v>272006</v>
      </c>
      <c r="F455" s="202">
        <v>272006</v>
      </c>
      <c r="G455" s="202">
        <v>189868.21</v>
      </c>
      <c r="H455" s="202">
        <v>189868.21</v>
      </c>
      <c r="I455" s="203">
        <v>0.69802949199650011</v>
      </c>
      <c r="J455" s="231"/>
    </row>
    <row r="456" spans="1:10" ht="75" outlineLevel="3" x14ac:dyDescent="0.25">
      <c r="A456" s="204" t="s">
        <v>207</v>
      </c>
      <c r="B456" s="201"/>
      <c r="C456" s="201" t="s">
        <v>537</v>
      </c>
      <c r="D456" s="201" t="s">
        <v>30</v>
      </c>
      <c r="E456" s="202">
        <v>46200</v>
      </c>
      <c r="F456" s="202">
        <v>46200</v>
      </c>
      <c r="G456" s="202">
        <v>43900</v>
      </c>
      <c r="H456" s="202">
        <v>43900</v>
      </c>
      <c r="I456" s="203">
        <v>0.95021645021645018</v>
      </c>
      <c r="J456" s="231"/>
    </row>
    <row r="457" spans="1:10" ht="75" outlineLevel="4" x14ac:dyDescent="0.25">
      <c r="A457" s="204" t="s">
        <v>308</v>
      </c>
      <c r="B457" s="201" t="s">
        <v>309</v>
      </c>
      <c r="C457" s="201" t="s">
        <v>537</v>
      </c>
      <c r="D457" s="201" t="s">
        <v>30</v>
      </c>
      <c r="E457" s="202">
        <v>46200</v>
      </c>
      <c r="F457" s="202">
        <v>46200</v>
      </c>
      <c r="G457" s="202">
        <v>43900</v>
      </c>
      <c r="H457" s="202">
        <v>43900</v>
      </c>
      <c r="I457" s="203">
        <v>0.95021645021645018</v>
      </c>
      <c r="J457" s="231"/>
    </row>
    <row r="458" spans="1:10" ht="30" outlineLevel="1" x14ac:dyDescent="0.25">
      <c r="A458" s="200" t="s">
        <v>538</v>
      </c>
      <c r="B458" s="201"/>
      <c r="C458" s="201"/>
      <c r="D458" s="201"/>
      <c r="E458" s="202">
        <v>19912037.140000001</v>
      </c>
      <c r="F458" s="202">
        <v>19912037.140000001</v>
      </c>
      <c r="G458" s="202">
        <v>14184630.859999999</v>
      </c>
      <c r="H458" s="202">
        <v>14184617.67</v>
      </c>
      <c r="I458" s="203">
        <v>0.71236462448663351</v>
      </c>
      <c r="J458" s="231"/>
    </row>
    <row r="459" spans="1:10" ht="75" outlineLevel="2" x14ac:dyDescent="0.25">
      <c r="A459" s="204" t="s">
        <v>539</v>
      </c>
      <c r="B459" s="201"/>
      <c r="C459" s="201"/>
      <c r="D459" s="201"/>
      <c r="E459" s="202">
        <v>15217089.289999999</v>
      </c>
      <c r="F459" s="202">
        <v>15217089.289999999</v>
      </c>
      <c r="G459" s="202">
        <v>10726037.68</v>
      </c>
      <c r="H459" s="202">
        <v>10726024.49</v>
      </c>
      <c r="I459" s="203">
        <v>0.70486789395713667</v>
      </c>
      <c r="J459" s="231"/>
    </row>
    <row r="460" spans="1:10" ht="60" outlineLevel="3" x14ac:dyDescent="0.25">
      <c r="A460" s="204" t="s">
        <v>201</v>
      </c>
      <c r="B460" s="201"/>
      <c r="C460" s="201" t="s">
        <v>540</v>
      </c>
      <c r="D460" s="201" t="s">
        <v>30</v>
      </c>
      <c r="E460" s="202">
        <v>11998430.699999999</v>
      </c>
      <c r="F460" s="202">
        <v>11998430.699999999</v>
      </c>
      <c r="G460" s="202">
        <v>8991710.3900000006</v>
      </c>
      <c r="H460" s="202">
        <v>8991710.3900000006</v>
      </c>
      <c r="I460" s="203">
        <v>0.74940720289362506</v>
      </c>
      <c r="J460" s="231"/>
    </row>
    <row r="461" spans="1:10" ht="75" outlineLevel="4" x14ac:dyDescent="0.25">
      <c r="A461" s="204" t="s">
        <v>308</v>
      </c>
      <c r="B461" s="201" t="s">
        <v>309</v>
      </c>
      <c r="C461" s="201" t="s">
        <v>540</v>
      </c>
      <c r="D461" s="201" t="s">
        <v>30</v>
      </c>
      <c r="E461" s="202">
        <v>11998430.699999999</v>
      </c>
      <c r="F461" s="202">
        <v>11998430.699999999</v>
      </c>
      <c r="G461" s="202">
        <v>8991710.3900000006</v>
      </c>
      <c r="H461" s="202">
        <v>8991710.3900000006</v>
      </c>
      <c r="I461" s="203">
        <v>0.74940720289362506</v>
      </c>
      <c r="J461" s="231"/>
    </row>
    <row r="462" spans="1:10" ht="75" outlineLevel="3" x14ac:dyDescent="0.25">
      <c r="A462" s="204" t="s">
        <v>205</v>
      </c>
      <c r="B462" s="201"/>
      <c r="C462" s="201" t="s">
        <v>541</v>
      </c>
      <c r="D462" s="201" t="s">
        <v>30</v>
      </c>
      <c r="E462" s="202">
        <v>165492</v>
      </c>
      <c r="F462" s="202">
        <v>165492</v>
      </c>
      <c r="G462" s="202">
        <v>165492</v>
      </c>
      <c r="H462" s="202">
        <v>165492</v>
      </c>
      <c r="I462" s="203">
        <v>1</v>
      </c>
      <c r="J462" s="231"/>
    </row>
    <row r="463" spans="1:10" ht="75" outlineLevel="4" x14ac:dyDescent="0.25">
      <c r="A463" s="204" t="s">
        <v>308</v>
      </c>
      <c r="B463" s="201" t="s">
        <v>309</v>
      </c>
      <c r="C463" s="201" t="s">
        <v>541</v>
      </c>
      <c r="D463" s="201" t="s">
        <v>30</v>
      </c>
      <c r="E463" s="202">
        <v>165492</v>
      </c>
      <c r="F463" s="202">
        <v>165492</v>
      </c>
      <c r="G463" s="202">
        <v>165492</v>
      </c>
      <c r="H463" s="202">
        <v>165492</v>
      </c>
      <c r="I463" s="203">
        <v>1</v>
      </c>
      <c r="J463" s="231"/>
    </row>
    <row r="464" spans="1:10" ht="30" outlineLevel="3" x14ac:dyDescent="0.25">
      <c r="A464" s="204" t="s">
        <v>224</v>
      </c>
      <c r="B464" s="201"/>
      <c r="C464" s="201" t="s">
        <v>542</v>
      </c>
      <c r="D464" s="201" t="s">
        <v>30</v>
      </c>
      <c r="E464" s="202">
        <v>3053166.59</v>
      </c>
      <c r="F464" s="202">
        <v>3053166.59</v>
      </c>
      <c r="G464" s="202">
        <v>1568835.29</v>
      </c>
      <c r="H464" s="202">
        <v>1568822.1</v>
      </c>
      <c r="I464" s="203">
        <v>0.51383874536633134</v>
      </c>
      <c r="J464" s="231"/>
    </row>
    <row r="465" spans="1:10" ht="75" outlineLevel="4" x14ac:dyDescent="0.25">
      <c r="A465" s="204" t="s">
        <v>543</v>
      </c>
      <c r="B465" s="201" t="s">
        <v>544</v>
      </c>
      <c r="C465" s="201" t="s">
        <v>542</v>
      </c>
      <c r="D465" s="201" t="s">
        <v>30</v>
      </c>
      <c r="E465" s="202">
        <v>400218</v>
      </c>
      <c r="F465" s="202">
        <v>400218</v>
      </c>
      <c r="G465" s="202">
        <v>131280.57</v>
      </c>
      <c r="H465" s="202">
        <v>131280.57</v>
      </c>
      <c r="I465" s="203">
        <v>0.32802265265430341</v>
      </c>
      <c r="J465" s="231"/>
    </row>
    <row r="466" spans="1:10" ht="75" outlineLevel="4" x14ac:dyDescent="0.25">
      <c r="A466" s="204" t="s">
        <v>308</v>
      </c>
      <c r="B466" s="201" t="s">
        <v>309</v>
      </c>
      <c r="C466" s="201" t="s">
        <v>542</v>
      </c>
      <c r="D466" s="201" t="s">
        <v>30</v>
      </c>
      <c r="E466" s="202">
        <v>939400.19</v>
      </c>
      <c r="F466" s="202">
        <v>939400.19</v>
      </c>
      <c r="G466" s="202">
        <v>326636.34999999998</v>
      </c>
      <c r="H466" s="202">
        <v>326636.34999999998</v>
      </c>
      <c r="I466" s="203">
        <v>0.34770734930338898</v>
      </c>
      <c r="J466" s="231"/>
    </row>
    <row r="467" spans="1:10" ht="30" outlineLevel="4" x14ac:dyDescent="0.25">
      <c r="A467" s="204" t="s">
        <v>545</v>
      </c>
      <c r="B467" s="201" t="s">
        <v>546</v>
      </c>
      <c r="C467" s="201" t="s">
        <v>542</v>
      </c>
      <c r="D467" s="201" t="s">
        <v>30</v>
      </c>
      <c r="E467" s="202">
        <v>613672</v>
      </c>
      <c r="F467" s="202">
        <v>613672</v>
      </c>
      <c r="G467" s="202">
        <v>532469</v>
      </c>
      <c r="H467" s="202">
        <v>532469</v>
      </c>
      <c r="I467" s="203">
        <v>0.86767686972845426</v>
      </c>
      <c r="J467" s="231"/>
    </row>
    <row r="468" spans="1:10" ht="30" outlineLevel="4" x14ac:dyDescent="0.25">
      <c r="A468" s="204" t="s">
        <v>203</v>
      </c>
      <c r="B468" s="201" t="s">
        <v>204</v>
      </c>
      <c r="C468" s="201" t="s">
        <v>542</v>
      </c>
      <c r="D468" s="201" t="s">
        <v>30</v>
      </c>
      <c r="E468" s="202">
        <v>795930.97</v>
      </c>
      <c r="F468" s="202">
        <v>795930.97</v>
      </c>
      <c r="G468" s="202">
        <v>401358.77</v>
      </c>
      <c r="H468" s="202">
        <v>401345.58</v>
      </c>
      <c r="I468" s="203">
        <v>0.50426329057154295</v>
      </c>
      <c r="J468" s="231"/>
    </row>
    <row r="469" spans="1:10" ht="45" outlineLevel="4" x14ac:dyDescent="0.25">
      <c r="A469" s="204" t="s">
        <v>262</v>
      </c>
      <c r="B469" s="201" t="s">
        <v>263</v>
      </c>
      <c r="C469" s="201" t="s">
        <v>542</v>
      </c>
      <c r="D469" s="201" t="s">
        <v>30</v>
      </c>
      <c r="E469" s="202">
        <v>160455</v>
      </c>
      <c r="F469" s="202">
        <v>160455</v>
      </c>
      <c r="G469" s="202">
        <v>77785.22</v>
      </c>
      <c r="H469" s="202">
        <v>77785.22</v>
      </c>
      <c r="I469" s="203">
        <v>0.48477903462029853</v>
      </c>
      <c r="J469" s="231"/>
    </row>
    <row r="470" spans="1:10" ht="75" outlineLevel="4" x14ac:dyDescent="0.25">
      <c r="A470" s="204" t="s">
        <v>547</v>
      </c>
      <c r="B470" s="201" t="s">
        <v>548</v>
      </c>
      <c r="C470" s="201" t="s">
        <v>542</v>
      </c>
      <c r="D470" s="201" t="s">
        <v>30</v>
      </c>
      <c r="E470" s="202">
        <v>143490.43</v>
      </c>
      <c r="F470" s="202">
        <v>143490.43</v>
      </c>
      <c r="G470" s="202">
        <v>99305.38</v>
      </c>
      <c r="H470" s="202">
        <v>99305.38</v>
      </c>
      <c r="I470" s="203">
        <v>0.69206970806345758</v>
      </c>
      <c r="J470" s="231"/>
    </row>
    <row r="471" spans="1:10" ht="75" outlineLevel="2" x14ac:dyDescent="0.25">
      <c r="A471" s="204" t="s">
        <v>549</v>
      </c>
      <c r="B471" s="201"/>
      <c r="C471" s="201"/>
      <c r="D471" s="201"/>
      <c r="E471" s="202">
        <v>4694947.8499999996</v>
      </c>
      <c r="F471" s="202">
        <v>4694947.8499999996</v>
      </c>
      <c r="G471" s="202">
        <v>3458593.18</v>
      </c>
      <c r="H471" s="202">
        <v>3458593.18</v>
      </c>
      <c r="I471" s="203">
        <v>0.73666274695681655</v>
      </c>
      <c r="J471" s="231"/>
    </row>
    <row r="472" spans="1:10" ht="60" outlineLevel="3" x14ac:dyDescent="0.25">
      <c r="A472" s="204" t="s">
        <v>201</v>
      </c>
      <c r="B472" s="201"/>
      <c r="C472" s="201" t="s">
        <v>550</v>
      </c>
      <c r="D472" s="201" t="s">
        <v>30</v>
      </c>
      <c r="E472" s="202">
        <v>4694947.8499999996</v>
      </c>
      <c r="F472" s="202">
        <v>4694947.8499999996</v>
      </c>
      <c r="G472" s="202">
        <v>3458593.18</v>
      </c>
      <c r="H472" s="202">
        <v>3458593.18</v>
      </c>
      <c r="I472" s="203">
        <v>0.73666274695681655</v>
      </c>
      <c r="J472" s="231"/>
    </row>
    <row r="473" spans="1:10" ht="75" outlineLevel="4" x14ac:dyDescent="0.25">
      <c r="A473" s="204" t="s">
        <v>308</v>
      </c>
      <c r="B473" s="201" t="s">
        <v>309</v>
      </c>
      <c r="C473" s="201" t="s">
        <v>550</v>
      </c>
      <c r="D473" s="201" t="s">
        <v>30</v>
      </c>
      <c r="E473" s="202">
        <v>4694947.8499999996</v>
      </c>
      <c r="F473" s="202">
        <v>4694947.8499999996</v>
      </c>
      <c r="G473" s="202">
        <v>3458593.18</v>
      </c>
      <c r="H473" s="202">
        <v>3458593.18</v>
      </c>
      <c r="I473" s="203">
        <v>0.73666274695681655</v>
      </c>
      <c r="J473" s="231"/>
    </row>
    <row r="474" spans="1:10" ht="30" outlineLevel="1" x14ac:dyDescent="0.25">
      <c r="A474" s="200" t="s">
        <v>551</v>
      </c>
      <c r="B474" s="201"/>
      <c r="C474" s="201"/>
      <c r="D474" s="201"/>
      <c r="E474" s="202">
        <v>39028765.840000004</v>
      </c>
      <c r="F474" s="202">
        <v>39028765.840000004</v>
      </c>
      <c r="G474" s="202">
        <v>25136742.489999998</v>
      </c>
      <c r="H474" s="202">
        <v>25126904.010000002</v>
      </c>
      <c r="I474" s="203">
        <v>0.64405681166166229</v>
      </c>
      <c r="J474" s="231"/>
    </row>
    <row r="475" spans="1:10" ht="30" outlineLevel="2" x14ac:dyDescent="0.25">
      <c r="A475" s="204" t="s">
        <v>552</v>
      </c>
      <c r="B475" s="201"/>
      <c r="C475" s="201"/>
      <c r="D475" s="201"/>
      <c r="E475" s="202">
        <v>11301622.789999999</v>
      </c>
      <c r="F475" s="202">
        <v>11301622.789999999</v>
      </c>
      <c r="G475" s="202">
        <v>9362491.4900000002</v>
      </c>
      <c r="H475" s="202">
        <v>9352653.0099999998</v>
      </c>
      <c r="I475" s="203">
        <v>0.82842010072077443</v>
      </c>
      <c r="J475" s="231"/>
    </row>
    <row r="476" spans="1:10" ht="45" outlineLevel="3" x14ac:dyDescent="0.25">
      <c r="A476" s="204" t="s">
        <v>276</v>
      </c>
      <c r="B476" s="201"/>
      <c r="C476" s="201" t="s">
        <v>553</v>
      </c>
      <c r="D476" s="201" t="s">
        <v>30</v>
      </c>
      <c r="E476" s="202">
        <v>10196939.25</v>
      </c>
      <c r="F476" s="202">
        <v>10196939.25</v>
      </c>
      <c r="G476" s="202">
        <v>8612428.7599999998</v>
      </c>
      <c r="H476" s="202">
        <v>8602590.2799999993</v>
      </c>
      <c r="I476" s="203">
        <v>0.84460920564962672</v>
      </c>
      <c r="J476" s="231"/>
    </row>
    <row r="477" spans="1:10" ht="30" outlineLevel="4" x14ac:dyDescent="0.25">
      <c r="A477" s="204" t="s">
        <v>545</v>
      </c>
      <c r="B477" s="201" t="s">
        <v>546</v>
      </c>
      <c r="C477" s="201" t="s">
        <v>553</v>
      </c>
      <c r="D477" s="201" t="s">
        <v>30</v>
      </c>
      <c r="E477" s="202">
        <v>10196939.25</v>
      </c>
      <c r="F477" s="202">
        <v>10196939.25</v>
      </c>
      <c r="G477" s="202">
        <v>8612428.7599999998</v>
      </c>
      <c r="H477" s="202">
        <v>8602590.2799999993</v>
      </c>
      <c r="I477" s="203">
        <v>0.84460920564962672</v>
      </c>
      <c r="J477" s="231"/>
    </row>
    <row r="478" spans="1:10" ht="45" outlineLevel="3" x14ac:dyDescent="0.25">
      <c r="A478" s="204" t="s">
        <v>278</v>
      </c>
      <c r="B478" s="201"/>
      <c r="C478" s="201" t="s">
        <v>554</v>
      </c>
      <c r="D478" s="201" t="s">
        <v>30</v>
      </c>
      <c r="E478" s="202">
        <v>266338.40000000002</v>
      </c>
      <c r="F478" s="202">
        <v>266338.40000000002</v>
      </c>
      <c r="G478" s="202">
        <v>36285.24</v>
      </c>
      <c r="H478" s="202">
        <v>36285.24</v>
      </c>
      <c r="I478" s="203">
        <v>0.13623735818792934</v>
      </c>
      <c r="J478" s="231"/>
    </row>
    <row r="479" spans="1:10" ht="30" outlineLevel="4" x14ac:dyDescent="0.25">
      <c r="A479" s="204" t="s">
        <v>545</v>
      </c>
      <c r="B479" s="201" t="s">
        <v>546</v>
      </c>
      <c r="C479" s="201" t="s">
        <v>554</v>
      </c>
      <c r="D479" s="201" t="s">
        <v>30</v>
      </c>
      <c r="E479" s="202">
        <v>266338.40000000002</v>
      </c>
      <c r="F479" s="202">
        <v>266338.40000000002</v>
      </c>
      <c r="G479" s="202">
        <v>36285.24</v>
      </c>
      <c r="H479" s="202">
        <v>36285.24</v>
      </c>
      <c r="I479" s="203">
        <v>0.13623735818792934</v>
      </c>
      <c r="J479" s="231"/>
    </row>
    <row r="480" spans="1:10" ht="75" outlineLevel="3" x14ac:dyDescent="0.25">
      <c r="A480" s="204" t="s">
        <v>280</v>
      </c>
      <c r="B480" s="201"/>
      <c r="C480" s="201" t="s">
        <v>555</v>
      </c>
      <c r="D480" s="201" t="s">
        <v>30</v>
      </c>
      <c r="E480" s="202">
        <v>46000</v>
      </c>
      <c r="F480" s="202">
        <v>46000</v>
      </c>
      <c r="G480" s="202">
        <v>22295</v>
      </c>
      <c r="H480" s="202">
        <v>22295</v>
      </c>
      <c r="I480" s="203">
        <v>0.48467391304347823</v>
      </c>
      <c r="J480" s="231"/>
    </row>
    <row r="481" spans="1:10" ht="30" outlineLevel="4" x14ac:dyDescent="0.25">
      <c r="A481" s="204" t="s">
        <v>545</v>
      </c>
      <c r="B481" s="201" t="s">
        <v>546</v>
      </c>
      <c r="C481" s="201" t="s">
        <v>555</v>
      </c>
      <c r="D481" s="201" t="s">
        <v>30</v>
      </c>
      <c r="E481" s="202">
        <v>46000</v>
      </c>
      <c r="F481" s="202">
        <v>46000</v>
      </c>
      <c r="G481" s="202">
        <v>22295</v>
      </c>
      <c r="H481" s="202">
        <v>22295</v>
      </c>
      <c r="I481" s="203">
        <v>0.48467391304347823</v>
      </c>
      <c r="J481" s="231"/>
    </row>
    <row r="482" spans="1:10" ht="60" outlineLevel="3" x14ac:dyDescent="0.25">
      <c r="A482" s="204" t="s">
        <v>556</v>
      </c>
      <c r="B482" s="201"/>
      <c r="C482" s="201" t="s">
        <v>557</v>
      </c>
      <c r="D482" s="201" t="s">
        <v>30</v>
      </c>
      <c r="E482" s="202">
        <v>528371.14</v>
      </c>
      <c r="F482" s="202">
        <v>528371.14</v>
      </c>
      <c r="G482" s="202">
        <v>528371.14</v>
      </c>
      <c r="H482" s="202">
        <v>528371.14</v>
      </c>
      <c r="I482" s="203">
        <v>1</v>
      </c>
      <c r="J482" s="231"/>
    </row>
    <row r="483" spans="1:10" ht="30" outlineLevel="4" x14ac:dyDescent="0.25">
      <c r="A483" s="204" t="s">
        <v>545</v>
      </c>
      <c r="B483" s="201" t="s">
        <v>546</v>
      </c>
      <c r="C483" s="201" t="s">
        <v>557</v>
      </c>
      <c r="D483" s="201" t="s">
        <v>30</v>
      </c>
      <c r="E483" s="202">
        <v>528371.14</v>
      </c>
      <c r="F483" s="202">
        <v>528371.14</v>
      </c>
      <c r="G483" s="202">
        <v>528371.14</v>
      </c>
      <c r="H483" s="202">
        <v>528371.14</v>
      </c>
      <c r="I483" s="203">
        <v>1</v>
      </c>
      <c r="J483" s="231"/>
    </row>
    <row r="484" spans="1:10" ht="75" outlineLevel="3" x14ac:dyDescent="0.25">
      <c r="A484" s="204" t="s">
        <v>205</v>
      </c>
      <c r="B484" s="201"/>
      <c r="C484" s="201" t="s">
        <v>558</v>
      </c>
      <c r="D484" s="201" t="s">
        <v>30</v>
      </c>
      <c r="E484" s="202">
        <v>263974</v>
      </c>
      <c r="F484" s="202">
        <v>263974</v>
      </c>
      <c r="G484" s="202">
        <v>163111.35</v>
      </c>
      <c r="H484" s="202">
        <v>163111.35</v>
      </c>
      <c r="I484" s="203">
        <v>0.61790687719245074</v>
      </c>
      <c r="J484" s="231"/>
    </row>
    <row r="485" spans="1:10" ht="30" outlineLevel="4" x14ac:dyDescent="0.25">
      <c r="A485" s="204" t="s">
        <v>545</v>
      </c>
      <c r="B485" s="201" t="s">
        <v>546</v>
      </c>
      <c r="C485" s="201" t="s">
        <v>558</v>
      </c>
      <c r="D485" s="201" t="s">
        <v>30</v>
      </c>
      <c r="E485" s="202">
        <v>263974</v>
      </c>
      <c r="F485" s="202">
        <v>263974</v>
      </c>
      <c r="G485" s="202">
        <v>163111.35</v>
      </c>
      <c r="H485" s="202">
        <v>163111.35</v>
      </c>
      <c r="I485" s="203">
        <v>0.61790687719245074</v>
      </c>
      <c r="J485" s="231"/>
    </row>
    <row r="486" spans="1:10" ht="30" outlineLevel="2" x14ac:dyDescent="0.25">
      <c r="A486" s="204" t="s">
        <v>559</v>
      </c>
      <c r="B486" s="201"/>
      <c r="C486" s="201"/>
      <c r="D486" s="201"/>
      <c r="E486" s="202">
        <v>27727143.050000001</v>
      </c>
      <c r="F486" s="202">
        <v>27727143.050000001</v>
      </c>
      <c r="G486" s="202">
        <v>15774251</v>
      </c>
      <c r="H486" s="202">
        <v>15774251</v>
      </c>
      <c r="I486" s="203">
        <v>0.56891007384188474</v>
      </c>
      <c r="J486" s="231"/>
    </row>
    <row r="487" spans="1:10" ht="30" outlineLevel="3" x14ac:dyDescent="0.25">
      <c r="A487" s="204" t="s">
        <v>560</v>
      </c>
      <c r="B487" s="201"/>
      <c r="C487" s="201" t="s">
        <v>561</v>
      </c>
      <c r="D487" s="201" t="s">
        <v>30</v>
      </c>
      <c r="E487" s="202">
        <v>27727143.050000001</v>
      </c>
      <c r="F487" s="202">
        <v>27727143.050000001</v>
      </c>
      <c r="G487" s="202">
        <v>15774251</v>
      </c>
      <c r="H487" s="202">
        <v>15774251</v>
      </c>
      <c r="I487" s="203">
        <v>0.56891007384188474</v>
      </c>
      <c r="J487" s="231"/>
    </row>
    <row r="488" spans="1:10" ht="30" outlineLevel="4" x14ac:dyDescent="0.25">
      <c r="A488" s="204" t="s">
        <v>545</v>
      </c>
      <c r="B488" s="201" t="s">
        <v>546</v>
      </c>
      <c r="C488" s="201" t="s">
        <v>561</v>
      </c>
      <c r="D488" s="201" t="s">
        <v>30</v>
      </c>
      <c r="E488" s="202">
        <v>27727143.050000001</v>
      </c>
      <c r="F488" s="202">
        <v>27727143.050000001</v>
      </c>
      <c r="G488" s="202">
        <v>15774251</v>
      </c>
      <c r="H488" s="202">
        <v>15774251</v>
      </c>
      <c r="I488" s="203">
        <v>0.56891007384188474</v>
      </c>
      <c r="J488" s="231"/>
    </row>
    <row r="489" spans="1:10" ht="75" x14ac:dyDescent="0.25">
      <c r="A489" s="196" t="s">
        <v>562</v>
      </c>
      <c r="B489" s="197"/>
      <c r="C489" s="197"/>
      <c r="D489" s="197"/>
      <c r="E489" s="198">
        <v>314893319.91000003</v>
      </c>
      <c r="F489" s="198">
        <v>314883329.91000003</v>
      </c>
      <c r="G489" s="198">
        <v>139561061.36000001</v>
      </c>
      <c r="H489" s="198">
        <v>138984844.40000001</v>
      </c>
      <c r="I489" s="199">
        <v>0.44320108600553387</v>
      </c>
      <c r="J489" s="231"/>
    </row>
    <row r="490" spans="1:10" ht="60" outlineLevel="1" x14ac:dyDescent="0.25">
      <c r="A490" s="200" t="s">
        <v>563</v>
      </c>
      <c r="B490" s="201"/>
      <c r="C490" s="201"/>
      <c r="D490" s="201"/>
      <c r="E490" s="202">
        <v>265500561.38999999</v>
      </c>
      <c r="F490" s="202">
        <v>265490571.38999999</v>
      </c>
      <c r="G490" s="202">
        <v>102388171.91</v>
      </c>
      <c r="H490" s="202">
        <v>102198977.5</v>
      </c>
      <c r="I490" s="203">
        <v>0.38564201662684855</v>
      </c>
      <c r="J490" s="231"/>
    </row>
    <row r="491" spans="1:10" ht="45" outlineLevel="2" x14ac:dyDescent="0.25">
      <c r="A491" s="204" t="s">
        <v>564</v>
      </c>
      <c r="B491" s="201"/>
      <c r="C491" s="201"/>
      <c r="D491" s="201"/>
      <c r="E491" s="202">
        <v>264391630.56</v>
      </c>
      <c r="F491" s="202">
        <v>264381640.56</v>
      </c>
      <c r="G491" s="202">
        <v>102195046.09</v>
      </c>
      <c r="H491" s="202">
        <v>102005851.68000001</v>
      </c>
      <c r="I491" s="203">
        <v>0.38652905114108088</v>
      </c>
      <c r="J491" s="231"/>
    </row>
    <row r="492" spans="1:10" ht="30" outlineLevel="3" x14ac:dyDescent="0.25">
      <c r="A492" s="204" t="s">
        <v>222</v>
      </c>
      <c r="B492" s="201"/>
      <c r="C492" s="201" t="s">
        <v>565</v>
      </c>
      <c r="D492" s="201" t="s">
        <v>30</v>
      </c>
      <c r="E492" s="202">
        <v>3370263.56</v>
      </c>
      <c r="F492" s="202">
        <v>3370263.56</v>
      </c>
      <c r="G492" s="202">
        <v>3370263.56</v>
      </c>
      <c r="H492" s="202">
        <v>3370263.56</v>
      </c>
      <c r="I492" s="203">
        <v>1</v>
      </c>
      <c r="J492" s="231"/>
    </row>
    <row r="493" spans="1:10" ht="75" outlineLevel="4" x14ac:dyDescent="0.25">
      <c r="A493" s="204" t="s">
        <v>308</v>
      </c>
      <c r="B493" s="201" t="s">
        <v>309</v>
      </c>
      <c r="C493" s="201" t="s">
        <v>565</v>
      </c>
      <c r="D493" s="201" t="s">
        <v>30</v>
      </c>
      <c r="E493" s="202">
        <v>3370263.56</v>
      </c>
      <c r="F493" s="202">
        <v>3370263.56</v>
      </c>
      <c r="G493" s="202">
        <v>3370263.56</v>
      </c>
      <c r="H493" s="202">
        <v>3370263.56</v>
      </c>
      <c r="I493" s="203">
        <v>1</v>
      </c>
      <c r="J493" s="231"/>
    </row>
    <row r="494" spans="1:10" ht="45" outlineLevel="3" x14ac:dyDescent="0.25">
      <c r="A494" s="204" t="s">
        <v>566</v>
      </c>
      <c r="B494" s="201"/>
      <c r="C494" s="201" t="s">
        <v>567</v>
      </c>
      <c r="D494" s="201" t="s">
        <v>30</v>
      </c>
      <c r="E494" s="202">
        <v>2067739.2</v>
      </c>
      <c r="F494" s="202">
        <v>2067739.2</v>
      </c>
      <c r="G494" s="202">
        <v>1840740.56</v>
      </c>
      <c r="H494" s="202">
        <v>1840740.56</v>
      </c>
      <c r="I494" s="203">
        <v>0.89021892122565549</v>
      </c>
      <c r="J494" s="231"/>
    </row>
    <row r="495" spans="1:10" ht="75" outlineLevel="4" x14ac:dyDescent="0.25">
      <c r="A495" s="204" t="s">
        <v>308</v>
      </c>
      <c r="B495" s="201" t="s">
        <v>309</v>
      </c>
      <c r="C495" s="201" t="s">
        <v>567</v>
      </c>
      <c r="D495" s="201" t="s">
        <v>30</v>
      </c>
      <c r="E495" s="202">
        <v>2067739.2</v>
      </c>
      <c r="F495" s="202">
        <v>2067739.2</v>
      </c>
      <c r="G495" s="202">
        <v>1840740.56</v>
      </c>
      <c r="H495" s="202">
        <v>1840740.56</v>
      </c>
      <c r="I495" s="203">
        <v>0.89021892122565549</v>
      </c>
      <c r="J495" s="231"/>
    </row>
    <row r="496" spans="1:10" ht="30" outlineLevel="3" x14ac:dyDescent="0.25">
      <c r="A496" s="204" t="s">
        <v>224</v>
      </c>
      <c r="B496" s="201"/>
      <c r="C496" s="201" t="s">
        <v>568</v>
      </c>
      <c r="D496" s="201" t="s">
        <v>30</v>
      </c>
      <c r="E496" s="202">
        <v>71391962.870000005</v>
      </c>
      <c r="F496" s="202">
        <v>71381972.870000005</v>
      </c>
      <c r="G496" s="202">
        <v>53142217.270000003</v>
      </c>
      <c r="H496" s="202">
        <v>52953022.859999999</v>
      </c>
      <c r="I496" s="203">
        <v>0.74437254746403925</v>
      </c>
      <c r="J496" s="231"/>
    </row>
    <row r="497" spans="1:13" ht="75" outlineLevel="4" x14ac:dyDescent="0.25">
      <c r="A497" s="204" t="s">
        <v>308</v>
      </c>
      <c r="B497" s="201" t="s">
        <v>309</v>
      </c>
      <c r="C497" s="201" t="s">
        <v>568</v>
      </c>
      <c r="D497" s="201" t="s">
        <v>30</v>
      </c>
      <c r="E497" s="202">
        <v>71391962.870000005</v>
      </c>
      <c r="F497" s="202">
        <v>71381972.870000005</v>
      </c>
      <c r="G497" s="202">
        <v>53142217.270000003</v>
      </c>
      <c r="H497" s="202">
        <v>52953022.859999999</v>
      </c>
      <c r="I497" s="203">
        <v>0.74437254746403925</v>
      </c>
      <c r="J497" s="231"/>
    </row>
    <row r="498" spans="1:13" ht="75" outlineLevel="3" x14ac:dyDescent="0.25">
      <c r="A498" s="204" t="s">
        <v>569</v>
      </c>
      <c r="B498" s="201"/>
      <c r="C498" s="201" t="s">
        <v>570</v>
      </c>
      <c r="D498" s="201" t="s">
        <v>32</v>
      </c>
      <c r="E498" s="202">
        <v>24733520</v>
      </c>
      <c r="F498" s="202">
        <v>24733520</v>
      </c>
      <c r="G498" s="202">
        <v>15576862.4</v>
      </c>
      <c r="H498" s="202">
        <v>15576862.4</v>
      </c>
      <c r="I498" s="203">
        <v>0.62978752721003728</v>
      </c>
      <c r="J498" s="231"/>
    </row>
    <row r="499" spans="1:13" ht="75" outlineLevel="4" x14ac:dyDescent="0.25">
      <c r="A499" s="204" t="s">
        <v>308</v>
      </c>
      <c r="B499" s="201" t="s">
        <v>309</v>
      </c>
      <c r="C499" s="201" t="s">
        <v>570</v>
      </c>
      <c r="D499" s="201" t="s">
        <v>32</v>
      </c>
      <c r="E499" s="202">
        <v>24733520</v>
      </c>
      <c r="F499" s="202">
        <v>24733520</v>
      </c>
      <c r="G499" s="202">
        <v>15576862.4</v>
      </c>
      <c r="H499" s="202">
        <v>15576862.4</v>
      </c>
      <c r="I499" s="203">
        <v>0.62978752721003728</v>
      </c>
      <c r="J499" s="231"/>
    </row>
    <row r="500" spans="1:13" outlineLevel="3" x14ac:dyDescent="0.25">
      <c r="A500" s="513" t="s">
        <v>247</v>
      </c>
      <c r="B500" s="205">
        <v>914</v>
      </c>
      <c r="C500" s="516" t="s">
        <v>571</v>
      </c>
      <c r="D500" s="206" t="s">
        <v>28</v>
      </c>
      <c r="E500" s="207">
        <v>134166810</v>
      </c>
      <c r="F500" s="207">
        <v>134166810</v>
      </c>
      <c r="G500" s="207">
        <v>10299916</v>
      </c>
      <c r="H500" s="207">
        <v>10299916</v>
      </c>
      <c r="I500" s="208">
        <v>7.6769478233849345E-2</v>
      </c>
      <c r="J500" s="231"/>
      <c r="L500" s="233">
        <f>E498+E502+E508</f>
        <v>63686430</v>
      </c>
      <c r="M500" s="233">
        <f>H498+H502+H508</f>
        <v>18572837.109999999</v>
      </c>
    </row>
    <row r="501" spans="1:13" outlineLevel="3" x14ac:dyDescent="0.25">
      <c r="A501" s="514"/>
      <c r="B501" s="209">
        <v>914</v>
      </c>
      <c r="C501" s="517"/>
      <c r="D501" s="206" t="s">
        <v>34</v>
      </c>
      <c r="E501" s="207">
        <v>95258500</v>
      </c>
      <c r="F501" s="207">
        <v>95258500</v>
      </c>
      <c r="G501" s="207">
        <v>7312936.2599999998</v>
      </c>
      <c r="H501" s="207">
        <v>7312936.2599999998</v>
      </c>
      <c r="I501" s="208"/>
      <c r="J501" s="231"/>
    </row>
    <row r="502" spans="1:13" outlineLevel="3" x14ac:dyDescent="0.25">
      <c r="A502" s="515"/>
      <c r="B502" s="210">
        <v>914</v>
      </c>
      <c r="C502" s="518"/>
      <c r="D502" s="206" t="s">
        <v>32</v>
      </c>
      <c r="E502" s="207">
        <v>38908310</v>
      </c>
      <c r="F502" s="207">
        <v>38908310</v>
      </c>
      <c r="G502" s="207">
        <v>2986979.74</v>
      </c>
      <c r="H502" s="207">
        <v>2986979.74</v>
      </c>
      <c r="I502" s="208"/>
      <c r="J502" s="231"/>
    </row>
    <row r="503" spans="1:13" ht="90" outlineLevel="3" x14ac:dyDescent="0.25">
      <c r="A503" s="204" t="s">
        <v>572</v>
      </c>
      <c r="B503" s="201"/>
      <c r="C503" s="201" t="s">
        <v>573</v>
      </c>
      <c r="D503" s="201" t="s">
        <v>30</v>
      </c>
      <c r="E503" s="202">
        <v>28661334.93</v>
      </c>
      <c r="F503" s="202">
        <v>28661334.93</v>
      </c>
      <c r="G503" s="202">
        <v>17965046.300000001</v>
      </c>
      <c r="H503" s="202">
        <v>17965046.300000001</v>
      </c>
      <c r="I503" s="203">
        <v>0.62680424145896541</v>
      </c>
      <c r="J503" s="231"/>
    </row>
    <row r="504" spans="1:13" ht="75" outlineLevel="4" x14ac:dyDescent="0.25">
      <c r="A504" s="204" t="s">
        <v>308</v>
      </c>
      <c r="B504" s="201" t="s">
        <v>309</v>
      </c>
      <c r="C504" s="201" t="s">
        <v>573</v>
      </c>
      <c r="D504" s="201" t="s">
        <v>30</v>
      </c>
      <c r="E504" s="202">
        <v>28661334.93</v>
      </c>
      <c r="F504" s="202">
        <v>28661334.93</v>
      </c>
      <c r="G504" s="202">
        <v>17965046.300000001</v>
      </c>
      <c r="H504" s="202">
        <v>17965046.300000001</v>
      </c>
      <c r="I504" s="203">
        <v>0.62680424145896541</v>
      </c>
      <c r="J504" s="231"/>
    </row>
    <row r="505" spans="1:13" ht="30" outlineLevel="2" x14ac:dyDescent="0.25">
      <c r="A505" s="204" t="s">
        <v>574</v>
      </c>
      <c r="B505" s="201"/>
      <c r="C505" s="201"/>
      <c r="D505" s="201"/>
      <c r="E505" s="202">
        <v>1108930.83</v>
      </c>
      <c r="F505" s="202">
        <v>1108930.83</v>
      </c>
      <c r="G505" s="202">
        <v>193125.82</v>
      </c>
      <c r="H505" s="202">
        <v>193125.82</v>
      </c>
      <c r="I505" s="203">
        <v>0.17415497412043274</v>
      </c>
      <c r="J505" s="231"/>
    </row>
    <row r="506" spans="1:13" ht="30" outlineLevel="3" x14ac:dyDescent="0.25">
      <c r="A506" s="204" t="s">
        <v>224</v>
      </c>
      <c r="B506" s="201"/>
      <c r="C506" s="201" t="s">
        <v>575</v>
      </c>
      <c r="D506" s="201" t="s">
        <v>30</v>
      </c>
      <c r="E506" s="202">
        <v>1064330.83</v>
      </c>
      <c r="F506" s="202">
        <v>1064330.83</v>
      </c>
      <c r="G506" s="202">
        <v>184130.85</v>
      </c>
      <c r="H506" s="202">
        <v>184130.85</v>
      </c>
      <c r="I506" s="203">
        <v>0.1730015187101176</v>
      </c>
      <c r="J506" s="231"/>
    </row>
    <row r="507" spans="1:13" ht="75" outlineLevel="4" x14ac:dyDescent="0.25">
      <c r="A507" s="204" t="s">
        <v>308</v>
      </c>
      <c r="B507" s="201" t="s">
        <v>309</v>
      </c>
      <c r="C507" s="201" t="s">
        <v>575</v>
      </c>
      <c r="D507" s="201" t="s">
        <v>30</v>
      </c>
      <c r="E507" s="202">
        <v>1064330.83</v>
      </c>
      <c r="F507" s="202">
        <v>1064330.83</v>
      </c>
      <c r="G507" s="202">
        <v>184130.85</v>
      </c>
      <c r="H507" s="202">
        <v>184130.85</v>
      </c>
      <c r="I507" s="203">
        <v>0.1730015187101176</v>
      </c>
      <c r="J507" s="231"/>
    </row>
    <row r="508" spans="1:13" ht="45" outlineLevel="3" x14ac:dyDescent="0.25">
      <c r="A508" s="204" t="s">
        <v>576</v>
      </c>
      <c r="B508" s="201"/>
      <c r="C508" s="201" t="s">
        <v>577</v>
      </c>
      <c r="D508" s="201" t="s">
        <v>32</v>
      </c>
      <c r="E508" s="202">
        <v>44600</v>
      </c>
      <c r="F508" s="202">
        <v>44600</v>
      </c>
      <c r="G508" s="202">
        <v>8994.9699999999993</v>
      </c>
      <c r="H508" s="202">
        <v>8994.9699999999993</v>
      </c>
      <c r="I508" s="203">
        <v>0.20168094170403589</v>
      </c>
      <c r="J508" s="231"/>
    </row>
    <row r="509" spans="1:13" ht="75" outlineLevel="4" x14ac:dyDescent="0.25">
      <c r="A509" s="204" t="s">
        <v>308</v>
      </c>
      <c r="B509" s="201" t="s">
        <v>309</v>
      </c>
      <c r="C509" s="201" t="s">
        <v>577</v>
      </c>
      <c r="D509" s="201" t="s">
        <v>32</v>
      </c>
      <c r="E509" s="202">
        <v>44600</v>
      </c>
      <c r="F509" s="202">
        <v>44600</v>
      </c>
      <c r="G509" s="202">
        <v>8994.9699999999993</v>
      </c>
      <c r="H509" s="202">
        <v>8994.9699999999993</v>
      </c>
      <c r="I509" s="203">
        <v>0.20168094170403589</v>
      </c>
      <c r="J509" s="231"/>
    </row>
    <row r="510" spans="1:13" ht="45" outlineLevel="1" x14ac:dyDescent="0.25">
      <c r="A510" s="200" t="s">
        <v>578</v>
      </c>
      <c r="B510" s="201"/>
      <c r="C510" s="201"/>
      <c r="D510" s="201"/>
      <c r="E510" s="202">
        <v>29468806.59</v>
      </c>
      <c r="F510" s="202">
        <v>29468806.59</v>
      </c>
      <c r="G510" s="202">
        <v>22868034.09</v>
      </c>
      <c r="H510" s="202">
        <v>22606702.84</v>
      </c>
      <c r="I510" s="203">
        <v>0.77600815018277947</v>
      </c>
      <c r="J510" s="231"/>
    </row>
    <row r="511" spans="1:13" ht="75" outlineLevel="2" x14ac:dyDescent="0.25">
      <c r="A511" s="204" t="s">
        <v>579</v>
      </c>
      <c r="B511" s="201"/>
      <c r="C511" s="201"/>
      <c r="D511" s="201"/>
      <c r="E511" s="202">
        <v>29468806.59</v>
      </c>
      <c r="F511" s="202">
        <v>29468806.59</v>
      </c>
      <c r="G511" s="202">
        <v>22868034.09</v>
      </c>
      <c r="H511" s="202">
        <v>22606702.84</v>
      </c>
      <c r="I511" s="203">
        <v>0.77600815018277947</v>
      </c>
      <c r="J511" s="231"/>
    </row>
    <row r="512" spans="1:13" ht="45" outlineLevel="3" x14ac:dyDescent="0.25">
      <c r="A512" s="204" t="s">
        <v>472</v>
      </c>
      <c r="B512" s="201"/>
      <c r="C512" s="201" t="s">
        <v>580</v>
      </c>
      <c r="D512" s="201" t="s">
        <v>30</v>
      </c>
      <c r="E512" s="202">
        <v>28190133.68</v>
      </c>
      <c r="F512" s="202">
        <v>28190133.68</v>
      </c>
      <c r="G512" s="202">
        <v>22078796.690000001</v>
      </c>
      <c r="H512" s="202">
        <v>21826078.199999999</v>
      </c>
      <c r="I512" s="203">
        <v>0.78321007415669697</v>
      </c>
      <c r="J512" s="231"/>
    </row>
    <row r="513" spans="1:10" ht="75" outlineLevel="4" x14ac:dyDescent="0.25">
      <c r="A513" s="204" t="s">
        <v>308</v>
      </c>
      <c r="B513" s="201" t="s">
        <v>309</v>
      </c>
      <c r="C513" s="201" t="s">
        <v>580</v>
      </c>
      <c r="D513" s="201" t="s">
        <v>30</v>
      </c>
      <c r="E513" s="202">
        <v>28190133.68</v>
      </c>
      <c r="F513" s="202">
        <v>28190133.68</v>
      </c>
      <c r="G513" s="202">
        <v>22078796.690000001</v>
      </c>
      <c r="H513" s="202">
        <v>21826078.199999999</v>
      </c>
      <c r="I513" s="203">
        <v>0.78321007415669697</v>
      </c>
      <c r="J513" s="231"/>
    </row>
    <row r="514" spans="1:10" ht="75" outlineLevel="3" x14ac:dyDescent="0.25">
      <c r="A514" s="204" t="s">
        <v>205</v>
      </c>
      <c r="B514" s="201"/>
      <c r="C514" s="201" t="s">
        <v>581</v>
      </c>
      <c r="D514" s="201" t="s">
        <v>30</v>
      </c>
      <c r="E514" s="202">
        <v>745481.58</v>
      </c>
      <c r="F514" s="202">
        <v>745481.58</v>
      </c>
      <c r="G514" s="202">
        <v>652217</v>
      </c>
      <c r="H514" s="202">
        <v>643604.24</v>
      </c>
      <c r="I514" s="203">
        <v>0.87489351514225211</v>
      </c>
      <c r="J514" s="231"/>
    </row>
    <row r="515" spans="1:10" ht="75" outlineLevel="4" x14ac:dyDescent="0.25">
      <c r="A515" s="204" t="s">
        <v>308</v>
      </c>
      <c r="B515" s="201" t="s">
        <v>309</v>
      </c>
      <c r="C515" s="201" t="s">
        <v>581</v>
      </c>
      <c r="D515" s="201" t="s">
        <v>30</v>
      </c>
      <c r="E515" s="202">
        <v>745481.58</v>
      </c>
      <c r="F515" s="202">
        <v>745481.58</v>
      </c>
      <c r="G515" s="202">
        <v>652217</v>
      </c>
      <c r="H515" s="202">
        <v>643604.24</v>
      </c>
      <c r="I515" s="203">
        <v>0.87489351514225211</v>
      </c>
      <c r="J515" s="231"/>
    </row>
    <row r="516" spans="1:10" ht="75" outlineLevel="3" x14ac:dyDescent="0.25">
      <c r="A516" s="204" t="s">
        <v>207</v>
      </c>
      <c r="B516" s="201"/>
      <c r="C516" s="201" t="s">
        <v>582</v>
      </c>
      <c r="D516" s="201" t="s">
        <v>30</v>
      </c>
      <c r="E516" s="202">
        <v>70500</v>
      </c>
      <c r="F516" s="202">
        <v>70500</v>
      </c>
      <c r="G516" s="202">
        <v>62750</v>
      </c>
      <c r="H516" s="202">
        <v>62750</v>
      </c>
      <c r="I516" s="203">
        <v>0.89007092198581561</v>
      </c>
      <c r="J516" s="231"/>
    </row>
    <row r="517" spans="1:10" ht="75" outlineLevel="4" x14ac:dyDescent="0.25">
      <c r="A517" s="204" t="s">
        <v>308</v>
      </c>
      <c r="B517" s="201" t="s">
        <v>309</v>
      </c>
      <c r="C517" s="201" t="s">
        <v>582</v>
      </c>
      <c r="D517" s="201" t="s">
        <v>30</v>
      </c>
      <c r="E517" s="202">
        <v>70500</v>
      </c>
      <c r="F517" s="202">
        <v>70500</v>
      </c>
      <c r="G517" s="202">
        <v>62750</v>
      </c>
      <c r="H517" s="202">
        <v>62750</v>
      </c>
      <c r="I517" s="203">
        <v>0.89007092198581561</v>
      </c>
      <c r="J517" s="231"/>
    </row>
    <row r="518" spans="1:10" ht="60" outlineLevel="3" x14ac:dyDescent="0.25">
      <c r="A518" s="204" t="s">
        <v>583</v>
      </c>
      <c r="B518" s="201"/>
      <c r="C518" s="201" t="s">
        <v>584</v>
      </c>
      <c r="D518" s="201" t="s">
        <v>30</v>
      </c>
      <c r="E518" s="202">
        <v>122311.33</v>
      </c>
      <c r="F518" s="202">
        <v>122311.33</v>
      </c>
      <c r="G518" s="202">
        <v>40000</v>
      </c>
      <c r="H518" s="202">
        <v>40000</v>
      </c>
      <c r="I518" s="203">
        <v>0.32703429845787796</v>
      </c>
      <c r="J518" s="231"/>
    </row>
    <row r="519" spans="1:10" ht="75" outlineLevel="4" x14ac:dyDescent="0.25">
      <c r="A519" s="204" t="s">
        <v>308</v>
      </c>
      <c r="B519" s="201" t="s">
        <v>309</v>
      </c>
      <c r="C519" s="201" t="s">
        <v>584</v>
      </c>
      <c r="D519" s="201" t="s">
        <v>30</v>
      </c>
      <c r="E519" s="202">
        <v>122311.33</v>
      </c>
      <c r="F519" s="202">
        <v>122311.33</v>
      </c>
      <c r="G519" s="202">
        <v>40000</v>
      </c>
      <c r="H519" s="202">
        <v>40000</v>
      </c>
      <c r="I519" s="203">
        <v>0.32703429845787796</v>
      </c>
      <c r="J519" s="231"/>
    </row>
    <row r="520" spans="1:10" ht="30" outlineLevel="3" x14ac:dyDescent="0.25">
      <c r="A520" s="204" t="s">
        <v>224</v>
      </c>
      <c r="B520" s="201"/>
      <c r="C520" s="201" t="s">
        <v>585</v>
      </c>
      <c r="D520" s="201" t="s">
        <v>30</v>
      </c>
      <c r="E520" s="202">
        <v>340380</v>
      </c>
      <c r="F520" s="202">
        <v>340380</v>
      </c>
      <c r="G520" s="202">
        <v>34270.400000000001</v>
      </c>
      <c r="H520" s="202">
        <v>34270.400000000001</v>
      </c>
      <c r="I520" s="203">
        <v>0.1006827663199953</v>
      </c>
      <c r="J520" s="231"/>
    </row>
    <row r="521" spans="1:10" ht="75" outlineLevel="4" x14ac:dyDescent="0.25">
      <c r="A521" s="204" t="s">
        <v>308</v>
      </c>
      <c r="B521" s="201" t="s">
        <v>309</v>
      </c>
      <c r="C521" s="201" t="s">
        <v>585</v>
      </c>
      <c r="D521" s="201" t="s">
        <v>30</v>
      </c>
      <c r="E521" s="202">
        <v>340380</v>
      </c>
      <c r="F521" s="202">
        <v>340380</v>
      </c>
      <c r="G521" s="202">
        <v>34270.400000000001</v>
      </c>
      <c r="H521" s="202">
        <v>34270.400000000001</v>
      </c>
      <c r="I521" s="203">
        <v>0.1006827663199953</v>
      </c>
      <c r="J521" s="231"/>
    </row>
    <row r="522" spans="1:10" ht="60" outlineLevel="1" x14ac:dyDescent="0.25">
      <c r="A522" s="200" t="s">
        <v>586</v>
      </c>
      <c r="B522" s="201"/>
      <c r="C522" s="201"/>
      <c r="D522" s="201"/>
      <c r="E522" s="202">
        <v>19923951.93</v>
      </c>
      <c r="F522" s="202">
        <v>19923951.93</v>
      </c>
      <c r="G522" s="202">
        <v>14304855.359999999</v>
      </c>
      <c r="H522" s="202">
        <v>14179164.060000001</v>
      </c>
      <c r="I522" s="203">
        <v>0.71797279025055349</v>
      </c>
      <c r="J522" s="231"/>
    </row>
    <row r="523" spans="1:10" ht="75" outlineLevel="2" x14ac:dyDescent="0.25">
      <c r="A523" s="204" t="s">
        <v>587</v>
      </c>
      <c r="B523" s="201"/>
      <c r="C523" s="201"/>
      <c r="D523" s="201"/>
      <c r="E523" s="202">
        <v>19923951.93</v>
      </c>
      <c r="F523" s="202">
        <v>19923951.93</v>
      </c>
      <c r="G523" s="202">
        <v>14304855.359999999</v>
      </c>
      <c r="H523" s="202">
        <v>14179164.060000001</v>
      </c>
      <c r="I523" s="203">
        <v>0.71797279025055349</v>
      </c>
      <c r="J523" s="231"/>
    </row>
    <row r="524" spans="1:10" ht="45" outlineLevel="3" x14ac:dyDescent="0.25">
      <c r="A524" s="204" t="s">
        <v>472</v>
      </c>
      <c r="B524" s="201"/>
      <c r="C524" s="201" t="s">
        <v>588</v>
      </c>
      <c r="D524" s="201" t="s">
        <v>30</v>
      </c>
      <c r="E524" s="202">
        <v>19621951.93</v>
      </c>
      <c r="F524" s="202">
        <v>19621951.93</v>
      </c>
      <c r="G524" s="202">
        <v>14061218</v>
      </c>
      <c r="H524" s="202">
        <v>13941946.789999999</v>
      </c>
      <c r="I524" s="203">
        <v>0.7166064849288416</v>
      </c>
      <c r="J524" s="231"/>
    </row>
    <row r="525" spans="1:10" ht="75" outlineLevel="4" x14ac:dyDescent="0.25">
      <c r="A525" s="204" t="s">
        <v>308</v>
      </c>
      <c r="B525" s="201" t="s">
        <v>309</v>
      </c>
      <c r="C525" s="201" t="s">
        <v>588</v>
      </c>
      <c r="D525" s="201" t="s">
        <v>30</v>
      </c>
      <c r="E525" s="202">
        <v>19621951.93</v>
      </c>
      <c r="F525" s="202">
        <v>19621951.93</v>
      </c>
      <c r="G525" s="202">
        <v>14061218</v>
      </c>
      <c r="H525" s="202">
        <v>13941946.789999999</v>
      </c>
      <c r="I525" s="203">
        <v>0.7166064849288416</v>
      </c>
      <c r="J525" s="231"/>
    </row>
    <row r="526" spans="1:10" ht="75" outlineLevel="3" x14ac:dyDescent="0.25">
      <c r="A526" s="204" t="s">
        <v>205</v>
      </c>
      <c r="B526" s="201"/>
      <c r="C526" s="201" t="s">
        <v>589</v>
      </c>
      <c r="D526" s="201" t="s">
        <v>30</v>
      </c>
      <c r="E526" s="202">
        <v>285000</v>
      </c>
      <c r="F526" s="202">
        <v>285000</v>
      </c>
      <c r="G526" s="202">
        <v>239637.36</v>
      </c>
      <c r="H526" s="202">
        <v>233217.27</v>
      </c>
      <c r="I526" s="203">
        <v>0.84083284210526321</v>
      </c>
      <c r="J526" s="231"/>
    </row>
    <row r="527" spans="1:10" ht="75" outlineLevel="4" x14ac:dyDescent="0.25">
      <c r="A527" s="204" t="s">
        <v>308</v>
      </c>
      <c r="B527" s="201" t="s">
        <v>309</v>
      </c>
      <c r="C527" s="201" t="s">
        <v>589</v>
      </c>
      <c r="D527" s="201" t="s">
        <v>30</v>
      </c>
      <c r="E527" s="202">
        <v>285000</v>
      </c>
      <c r="F527" s="202">
        <v>285000</v>
      </c>
      <c r="G527" s="202">
        <v>239637.36</v>
      </c>
      <c r="H527" s="202">
        <v>233217.27</v>
      </c>
      <c r="I527" s="203">
        <v>0.84083284210526321</v>
      </c>
      <c r="J527" s="231"/>
    </row>
    <row r="528" spans="1:10" ht="75" outlineLevel="3" x14ac:dyDescent="0.25">
      <c r="A528" s="204" t="s">
        <v>207</v>
      </c>
      <c r="B528" s="201"/>
      <c r="C528" s="201" t="s">
        <v>590</v>
      </c>
      <c r="D528" s="201" t="s">
        <v>30</v>
      </c>
      <c r="E528" s="202">
        <v>17000</v>
      </c>
      <c r="F528" s="202">
        <v>17000</v>
      </c>
      <c r="G528" s="202">
        <v>4000</v>
      </c>
      <c r="H528" s="202">
        <v>4000</v>
      </c>
      <c r="I528" s="203">
        <v>0.23529411764705882</v>
      </c>
      <c r="J528" s="231"/>
    </row>
    <row r="529" spans="1:12" ht="75" outlineLevel="4" x14ac:dyDescent="0.25">
      <c r="A529" s="204" t="s">
        <v>308</v>
      </c>
      <c r="B529" s="201" t="s">
        <v>309</v>
      </c>
      <c r="C529" s="201" t="s">
        <v>590</v>
      </c>
      <c r="D529" s="201" t="s">
        <v>30</v>
      </c>
      <c r="E529" s="202">
        <v>17000</v>
      </c>
      <c r="F529" s="202">
        <v>17000</v>
      </c>
      <c r="G529" s="202">
        <v>4000</v>
      </c>
      <c r="H529" s="202">
        <v>4000</v>
      </c>
      <c r="I529" s="203">
        <v>0.23529411764705882</v>
      </c>
      <c r="J529" s="231"/>
    </row>
    <row r="530" spans="1:12" x14ac:dyDescent="0.25">
      <c r="A530" s="196" t="s">
        <v>591</v>
      </c>
      <c r="B530" s="197"/>
      <c r="C530" s="197"/>
      <c r="D530" s="197"/>
      <c r="E530" s="198">
        <v>41074400.799999997</v>
      </c>
      <c r="F530" s="198">
        <v>41073296.600000001</v>
      </c>
      <c r="G530" s="198">
        <v>29461778.550000001</v>
      </c>
      <c r="H530" s="198">
        <v>29403498.57</v>
      </c>
      <c r="I530" s="199">
        <v>0.71727835284696351</v>
      </c>
      <c r="J530" s="231"/>
      <c r="K530" s="233">
        <v>41074400.799999997</v>
      </c>
      <c r="L530" s="233">
        <v>29403498.57</v>
      </c>
    </row>
    <row r="531" spans="1:12" ht="60" outlineLevel="3" x14ac:dyDescent="0.25">
      <c r="A531" s="204" t="s">
        <v>201</v>
      </c>
      <c r="B531" s="201"/>
      <c r="C531" s="201" t="s">
        <v>592</v>
      </c>
      <c r="D531" s="201" t="s">
        <v>30</v>
      </c>
      <c r="E531" s="202">
        <v>3800</v>
      </c>
      <c r="F531" s="202">
        <v>2695.8</v>
      </c>
      <c r="G531" s="202">
        <v>0</v>
      </c>
      <c r="H531" s="202">
        <v>0</v>
      </c>
      <c r="I531" s="203">
        <v>0</v>
      </c>
      <c r="J531" s="231"/>
    </row>
    <row r="532" spans="1:12" ht="75" outlineLevel="4" x14ac:dyDescent="0.25">
      <c r="A532" s="204" t="s">
        <v>308</v>
      </c>
      <c r="B532" s="201" t="s">
        <v>309</v>
      </c>
      <c r="C532" s="201" t="s">
        <v>592</v>
      </c>
      <c r="D532" s="201" t="s">
        <v>30</v>
      </c>
      <c r="E532" s="202">
        <v>3800</v>
      </c>
      <c r="F532" s="202">
        <v>2695.8</v>
      </c>
      <c r="G532" s="202">
        <v>0</v>
      </c>
      <c r="H532" s="202">
        <v>0</v>
      </c>
      <c r="I532" s="203">
        <v>0</v>
      </c>
      <c r="J532" s="231"/>
    </row>
    <row r="533" spans="1:12" ht="45" outlineLevel="3" x14ac:dyDescent="0.25">
      <c r="A533" s="204" t="s">
        <v>593</v>
      </c>
      <c r="B533" s="201"/>
      <c r="C533" s="201" t="s">
        <v>594</v>
      </c>
      <c r="D533" s="201" t="s">
        <v>30</v>
      </c>
      <c r="E533" s="202">
        <v>2342624</v>
      </c>
      <c r="F533" s="202">
        <v>2342624</v>
      </c>
      <c r="G533" s="202">
        <v>1623491.1</v>
      </c>
      <c r="H533" s="202">
        <v>1623491.1</v>
      </c>
      <c r="I533" s="203">
        <v>0.69302248248118348</v>
      </c>
      <c r="J533" s="231"/>
    </row>
    <row r="534" spans="1:12" ht="75" outlineLevel="4" x14ac:dyDescent="0.25">
      <c r="A534" s="204" t="s">
        <v>543</v>
      </c>
      <c r="B534" s="201" t="s">
        <v>544</v>
      </c>
      <c r="C534" s="201" t="s">
        <v>594</v>
      </c>
      <c r="D534" s="201" t="s">
        <v>30</v>
      </c>
      <c r="E534" s="202">
        <v>2342624</v>
      </c>
      <c r="F534" s="202">
        <v>2342624</v>
      </c>
      <c r="G534" s="202">
        <v>1623491.1</v>
      </c>
      <c r="H534" s="202">
        <v>1623491.1</v>
      </c>
      <c r="I534" s="203">
        <v>0.69302248248118348</v>
      </c>
      <c r="J534" s="231"/>
    </row>
    <row r="535" spans="1:12" ht="45" outlineLevel="3" x14ac:dyDescent="0.25">
      <c r="A535" s="204" t="s">
        <v>595</v>
      </c>
      <c r="B535" s="201"/>
      <c r="C535" s="201" t="s">
        <v>596</v>
      </c>
      <c r="D535" s="201" t="s">
        <v>30</v>
      </c>
      <c r="E535" s="202">
        <v>160500</v>
      </c>
      <c r="F535" s="202">
        <v>160500</v>
      </c>
      <c r="G535" s="202">
        <v>2950</v>
      </c>
      <c r="H535" s="202">
        <v>2950</v>
      </c>
      <c r="I535" s="203">
        <v>1.8380062305295951E-2</v>
      </c>
      <c r="J535" s="231"/>
    </row>
    <row r="536" spans="1:12" ht="75" outlineLevel="4" x14ac:dyDescent="0.25">
      <c r="A536" s="204" t="s">
        <v>543</v>
      </c>
      <c r="B536" s="201" t="s">
        <v>544</v>
      </c>
      <c r="C536" s="201" t="s">
        <v>596</v>
      </c>
      <c r="D536" s="201" t="s">
        <v>30</v>
      </c>
      <c r="E536" s="202">
        <v>160500</v>
      </c>
      <c r="F536" s="202">
        <v>160500</v>
      </c>
      <c r="G536" s="202">
        <v>2950</v>
      </c>
      <c r="H536" s="202">
        <v>2950</v>
      </c>
      <c r="I536" s="203">
        <v>1.8380062305295951E-2</v>
      </c>
      <c r="J536" s="231"/>
    </row>
    <row r="537" spans="1:12" ht="45" outlineLevel="3" x14ac:dyDescent="0.25">
      <c r="A537" s="204" t="s">
        <v>597</v>
      </c>
      <c r="B537" s="201"/>
      <c r="C537" s="201" t="s">
        <v>598</v>
      </c>
      <c r="D537" s="201" t="s">
        <v>30</v>
      </c>
      <c r="E537" s="202">
        <v>2217004</v>
      </c>
      <c r="F537" s="202">
        <v>2217004</v>
      </c>
      <c r="G537" s="202">
        <v>1501977.23</v>
      </c>
      <c r="H537" s="202">
        <v>1501977.23</v>
      </c>
      <c r="I537" s="203">
        <v>0.67748061347656563</v>
      </c>
      <c r="J537" s="231"/>
    </row>
    <row r="538" spans="1:12" ht="75" outlineLevel="4" x14ac:dyDescent="0.25">
      <c r="A538" s="204" t="s">
        <v>543</v>
      </c>
      <c r="B538" s="201" t="s">
        <v>544</v>
      </c>
      <c r="C538" s="201" t="s">
        <v>598</v>
      </c>
      <c r="D538" s="201" t="s">
        <v>30</v>
      </c>
      <c r="E538" s="202">
        <v>2217004</v>
      </c>
      <c r="F538" s="202">
        <v>2217004</v>
      </c>
      <c r="G538" s="202">
        <v>1501977.23</v>
      </c>
      <c r="H538" s="202">
        <v>1501977.23</v>
      </c>
      <c r="I538" s="203">
        <v>0.67748061347656563</v>
      </c>
      <c r="J538" s="231"/>
    </row>
    <row r="539" spans="1:12" ht="60" outlineLevel="3" x14ac:dyDescent="0.25">
      <c r="A539" s="204" t="s">
        <v>599</v>
      </c>
      <c r="B539" s="201"/>
      <c r="C539" s="201" t="s">
        <v>600</v>
      </c>
      <c r="D539" s="201" t="s">
        <v>30</v>
      </c>
      <c r="E539" s="202">
        <v>1506624</v>
      </c>
      <c r="F539" s="202">
        <v>1506624</v>
      </c>
      <c r="G539" s="202">
        <v>1202651.5900000001</v>
      </c>
      <c r="H539" s="202">
        <v>1198312.82</v>
      </c>
      <c r="I539" s="203">
        <v>0.79824268696104672</v>
      </c>
      <c r="J539" s="231"/>
    </row>
    <row r="540" spans="1:12" ht="75" outlineLevel="4" x14ac:dyDescent="0.25">
      <c r="A540" s="204" t="s">
        <v>547</v>
      </c>
      <c r="B540" s="201" t="s">
        <v>548</v>
      </c>
      <c r="C540" s="201" t="s">
        <v>600</v>
      </c>
      <c r="D540" s="201" t="s">
        <v>30</v>
      </c>
      <c r="E540" s="202">
        <v>1506624</v>
      </c>
      <c r="F540" s="202">
        <v>1506624</v>
      </c>
      <c r="G540" s="202">
        <v>1202651.5900000001</v>
      </c>
      <c r="H540" s="202">
        <v>1198312.82</v>
      </c>
      <c r="I540" s="203">
        <v>0.79824268696104672</v>
      </c>
      <c r="J540" s="231"/>
    </row>
    <row r="541" spans="1:12" ht="90" outlineLevel="3" x14ac:dyDescent="0.25">
      <c r="A541" s="204" t="s">
        <v>601</v>
      </c>
      <c r="B541" s="201"/>
      <c r="C541" s="201" t="s">
        <v>602</v>
      </c>
      <c r="D541" s="201" t="s">
        <v>30</v>
      </c>
      <c r="E541" s="202">
        <v>20000</v>
      </c>
      <c r="F541" s="202">
        <v>20000</v>
      </c>
      <c r="G541" s="202">
        <v>20000</v>
      </c>
      <c r="H541" s="202">
        <v>20000</v>
      </c>
      <c r="I541" s="203">
        <v>1</v>
      </c>
      <c r="J541" s="231"/>
    </row>
    <row r="542" spans="1:12" ht="75" outlineLevel="4" x14ac:dyDescent="0.25">
      <c r="A542" s="204" t="s">
        <v>547</v>
      </c>
      <c r="B542" s="201" t="s">
        <v>548</v>
      </c>
      <c r="C542" s="201" t="s">
        <v>602</v>
      </c>
      <c r="D542" s="201" t="s">
        <v>30</v>
      </c>
      <c r="E542" s="202">
        <v>20000</v>
      </c>
      <c r="F542" s="202">
        <v>20000</v>
      </c>
      <c r="G542" s="202">
        <v>20000</v>
      </c>
      <c r="H542" s="202">
        <v>20000</v>
      </c>
      <c r="I542" s="203">
        <v>1</v>
      </c>
      <c r="J542" s="231"/>
    </row>
    <row r="543" spans="1:12" ht="45" outlineLevel="3" x14ac:dyDescent="0.25">
      <c r="A543" s="204" t="s">
        <v>276</v>
      </c>
      <c r="B543" s="201"/>
      <c r="C543" s="201" t="s">
        <v>603</v>
      </c>
      <c r="D543" s="201" t="s">
        <v>30</v>
      </c>
      <c r="E543" s="202">
        <v>5077076</v>
      </c>
      <c r="F543" s="202">
        <v>5077076</v>
      </c>
      <c r="G543" s="202">
        <v>3312801.29</v>
      </c>
      <c r="H543" s="202">
        <v>3309360.08</v>
      </c>
      <c r="I543" s="203">
        <v>0.65250181206663049</v>
      </c>
      <c r="J543" s="231"/>
    </row>
    <row r="544" spans="1:12" ht="75" outlineLevel="4" x14ac:dyDescent="0.25">
      <c r="A544" s="204" t="s">
        <v>543</v>
      </c>
      <c r="B544" s="201" t="s">
        <v>544</v>
      </c>
      <c r="C544" s="201" t="s">
        <v>603</v>
      </c>
      <c r="D544" s="201" t="s">
        <v>30</v>
      </c>
      <c r="E544" s="202">
        <v>2589983</v>
      </c>
      <c r="F544" s="202">
        <v>2589983</v>
      </c>
      <c r="G544" s="202">
        <v>2318438.0299999998</v>
      </c>
      <c r="H544" s="202">
        <v>2318438.0299999998</v>
      </c>
      <c r="I544" s="203">
        <v>0.89515569407212325</v>
      </c>
      <c r="J544" s="231"/>
    </row>
    <row r="545" spans="1:10" ht="75" outlineLevel="4" x14ac:dyDescent="0.25">
      <c r="A545" s="204" t="s">
        <v>547</v>
      </c>
      <c r="B545" s="201" t="s">
        <v>548</v>
      </c>
      <c r="C545" s="201" t="s">
        <v>603</v>
      </c>
      <c r="D545" s="201" t="s">
        <v>30</v>
      </c>
      <c r="E545" s="202">
        <v>2487093</v>
      </c>
      <c r="F545" s="202">
        <v>2487093</v>
      </c>
      <c r="G545" s="202">
        <v>994363.26</v>
      </c>
      <c r="H545" s="202">
        <v>990922.05</v>
      </c>
      <c r="I545" s="203">
        <v>0.39980944017774966</v>
      </c>
      <c r="J545" s="231"/>
    </row>
    <row r="546" spans="1:10" ht="45" outlineLevel="3" x14ac:dyDescent="0.25">
      <c r="A546" s="204" t="s">
        <v>278</v>
      </c>
      <c r="B546" s="201"/>
      <c r="C546" s="201" t="s">
        <v>604</v>
      </c>
      <c r="D546" s="201" t="s">
        <v>30</v>
      </c>
      <c r="E546" s="202">
        <v>268974</v>
      </c>
      <c r="F546" s="202">
        <v>268974</v>
      </c>
      <c r="G546" s="202">
        <v>79251</v>
      </c>
      <c r="H546" s="202">
        <v>79251</v>
      </c>
      <c r="I546" s="203">
        <v>0.29464186129514375</v>
      </c>
      <c r="J546" s="231"/>
    </row>
    <row r="547" spans="1:10" ht="75" outlineLevel="4" x14ac:dyDescent="0.25">
      <c r="A547" s="204" t="s">
        <v>543</v>
      </c>
      <c r="B547" s="201" t="s">
        <v>544</v>
      </c>
      <c r="C547" s="201" t="s">
        <v>604</v>
      </c>
      <c r="D547" s="201" t="s">
        <v>30</v>
      </c>
      <c r="E547" s="202">
        <v>22500</v>
      </c>
      <c r="F547" s="202">
        <v>22500</v>
      </c>
      <c r="G547" s="202">
        <v>0</v>
      </c>
      <c r="H547" s="202">
        <v>0</v>
      </c>
      <c r="I547" s="203">
        <v>0</v>
      </c>
      <c r="J547" s="231"/>
    </row>
    <row r="548" spans="1:10" ht="75" outlineLevel="4" x14ac:dyDescent="0.25">
      <c r="A548" s="204" t="s">
        <v>547</v>
      </c>
      <c r="B548" s="201" t="s">
        <v>548</v>
      </c>
      <c r="C548" s="201" t="s">
        <v>604</v>
      </c>
      <c r="D548" s="201" t="s">
        <v>30</v>
      </c>
      <c r="E548" s="202">
        <v>246474</v>
      </c>
      <c r="F548" s="202">
        <v>246474</v>
      </c>
      <c r="G548" s="202">
        <v>79251</v>
      </c>
      <c r="H548" s="202">
        <v>79251</v>
      </c>
      <c r="I548" s="203">
        <v>0.32153898585652035</v>
      </c>
      <c r="J548" s="231"/>
    </row>
    <row r="549" spans="1:10" ht="75" outlineLevel="3" x14ac:dyDescent="0.25">
      <c r="A549" s="204" t="s">
        <v>280</v>
      </c>
      <c r="B549" s="201"/>
      <c r="C549" s="201" t="s">
        <v>605</v>
      </c>
      <c r="D549" s="201" t="s">
        <v>30</v>
      </c>
      <c r="E549" s="202">
        <v>80920</v>
      </c>
      <c r="F549" s="202">
        <v>80920</v>
      </c>
      <c r="G549" s="202">
        <v>28080</v>
      </c>
      <c r="H549" s="202">
        <v>28080</v>
      </c>
      <c r="I549" s="203">
        <v>0.34700939199209097</v>
      </c>
      <c r="J549" s="231"/>
    </row>
    <row r="550" spans="1:10" ht="75" outlineLevel="4" x14ac:dyDescent="0.25">
      <c r="A550" s="204" t="s">
        <v>543</v>
      </c>
      <c r="B550" s="201" t="s">
        <v>544</v>
      </c>
      <c r="C550" s="201" t="s">
        <v>605</v>
      </c>
      <c r="D550" s="201" t="s">
        <v>30</v>
      </c>
      <c r="E550" s="202">
        <v>48000</v>
      </c>
      <c r="F550" s="202">
        <v>48000</v>
      </c>
      <c r="G550" s="202">
        <v>0</v>
      </c>
      <c r="H550" s="202">
        <v>0</v>
      </c>
      <c r="I550" s="203">
        <v>0</v>
      </c>
      <c r="J550" s="231"/>
    </row>
    <row r="551" spans="1:10" ht="75" outlineLevel="4" x14ac:dyDescent="0.25">
      <c r="A551" s="204" t="s">
        <v>547</v>
      </c>
      <c r="B551" s="201" t="s">
        <v>548</v>
      </c>
      <c r="C551" s="201" t="s">
        <v>605</v>
      </c>
      <c r="D551" s="201" t="s">
        <v>30</v>
      </c>
      <c r="E551" s="202">
        <v>32920</v>
      </c>
      <c r="F551" s="202">
        <v>32920</v>
      </c>
      <c r="G551" s="202">
        <v>28080</v>
      </c>
      <c r="H551" s="202">
        <v>28080</v>
      </c>
      <c r="I551" s="203">
        <v>0.85297691373025519</v>
      </c>
      <c r="J551" s="231"/>
    </row>
    <row r="552" spans="1:10" ht="75" outlineLevel="3" x14ac:dyDescent="0.25">
      <c r="A552" s="204" t="s">
        <v>205</v>
      </c>
      <c r="B552" s="201"/>
      <c r="C552" s="201" t="s">
        <v>606</v>
      </c>
      <c r="D552" s="201" t="s">
        <v>30</v>
      </c>
      <c r="E552" s="202">
        <v>273000</v>
      </c>
      <c r="F552" s="202">
        <v>273000</v>
      </c>
      <c r="G552" s="202">
        <v>140866.13</v>
      </c>
      <c r="H552" s="202">
        <v>137866.13</v>
      </c>
      <c r="I552" s="203">
        <v>0.51599315018315017</v>
      </c>
      <c r="J552" s="231"/>
    </row>
    <row r="553" spans="1:10" ht="75" outlineLevel="4" x14ac:dyDescent="0.25">
      <c r="A553" s="204" t="s">
        <v>543</v>
      </c>
      <c r="B553" s="201" t="s">
        <v>544</v>
      </c>
      <c r="C553" s="201" t="s">
        <v>606</v>
      </c>
      <c r="D553" s="201" t="s">
        <v>30</v>
      </c>
      <c r="E553" s="202">
        <v>200000</v>
      </c>
      <c r="F553" s="202">
        <v>200000</v>
      </c>
      <c r="G553" s="202">
        <v>102847.65</v>
      </c>
      <c r="H553" s="202">
        <v>99847.65</v>
      </c>
      <c r="I553" s="203">
        <v>0.51423825000000001</v>
      </c>
      <c r="J553" s="231"/>
    </row>
    <row r="554" spans="1:10" ht="75" outlineLevel="4" x14ac:dyDescent="0.25">
      <c r="A554" s="204" t="s">
        <v>547</v>
      </c>
      <c r="B554" s="201" t="s">
        <v>548</v>
      </c>
      <c r="C554" s="201" t="s">
        <v>606</v>
      </c>
      <c r="D554" s="201" t="s">
        <v>30</v>
      </c>
      <c r="E554" s="202">
        <v>73000</v>
      </c>
      <c r="F554" s="202">
        <v>73000</v>
      </c>
      <c r="G554" s="202">
        <v>38018.480000000003</v>
      </c>
      <c r="H554" s="202">
        <v>38018.480000000003</v>
      </c>
      <c r="I554" s="203">
        <v>0.5208010958904109</v>
      </c>
      <c r="J554" s="231"/>
    </row>
    <row r="555" spans="1:10" ht="30" outlineLevel="3" x14ac:dyDescent="0.25">
      <c r="A555" s="204" t="s">
        <v>607</v>
      </c>
      <c r="B555" s="201"/>
      <c r="C555" s="201" t="s">
        <v>608</v>
      </c>
      <c r="D555" s="201" t="s">
        <v>30</v>
      </c>
      <c r="E555" s="202">
        <v>6200</v>
      </c>
      <c r="F555" s="202">
        <v>6200</v>
      </c>
      <c r="G555" s="202">
        <v>6200</v>
      </c>
      <c r="H555" s="202">
        <v>6200</v>
      </c>
      <c r="I555" s="203">
        <v>1</v>
      </c>
      <c r="J555" s="231"/>
    </row>
    <row r="556" spans="1:10" ht="75" outlineLevel="4" x14ac:dyDescent="0.25">
      <c r="A556" s="204" t="s">
        <v>308</v>
      </c>
      <c r="B556" s="201" t="s">
        <v>309</v>
      </c>
      <c r="C556" s="201" t="s">
        <v>608</v>
      </c>
      <c r="D556" s="201" t="s">
        <v>30</v>
      </c>
      <c r="E556" s="202">
        <v>6200</v>
      </c>
      <c r="F556" s="202">
        <v>6200</v>
      </c>
      <c r="G556" s="202">
        <v>6200</v>
      </c>
      <c r="H556" s="202">
        <v>6200</v>
      </c>
      <c r="I556" s="203">
        <v>1</v>
      </c>
      <c r="J556" s="231"/>
    </row>
    <row r="557" spans="1:10" ht="45" outlineLevel="3" x14ac:dyDescent="0.25">
      <c r="A557" s="204" t="s">
        <v>609</v>
      </c>
      <c r="B557" s="201"/>
      <c r="C557" s="201" t="s">
        <v>610</v>
      </c>
      <c r="D557" s="201" t="s">
        <v>30</v>
      </c>
      <c r="E557" s="202">
        <v>507884</v>
      </c>
      <c r="F557" s="202">
        <v>507884</v>
      </c>
      <c r="G557" s="202">
        <v>229597</v>
      </c>
      <c r="H557" s="202">
        <v>229597</v>
      </c>
      <c r="I557" s="203">
        <v>0.45206582605476842</v>
      </c>
      <c r="J557" s="231"/>
    </row>
    <row r="558" spans="1:10" ht="75" outlineLevel="4" x14ac:dyDescent="0.25">
      <c r="A558" s="204" t="s">
        <v>308</v>
      </c>
      <c r="B558" s="201" t="s">
        <v>309</v>
      </c>
      <c r="C558" s="201" t="s">
        <v>610</v>
      </c>
      <c r="D558" s="201" t="s">
        <v>30</v>
      </c>
      <c r="E558" s="202">
        <v>497884</v>
      </c>
      <c r="F558" s="202">
        <v>497884</v>
      </c>
      <c r="G558" s="202">
        <v>219597</v>
      </c>
      <c r="H558" s="202">
        <v>219597</v>
      </c>
      <c r="I558" s="203">
        <v>0.44106056832515206</v>
      </c>
      <c r="J558" s="231"/>
    </row>
    <row r="559" spans="1:10" ht="75" outlineLevel="4" x14ac:dyDescent="0.25">
      <c r="A559" s="204" t="s">
        <v>547</v>
      </c>
      <c r="B559" s="201" t="s">
        <v>548</v>
      </c>
      <c r="C559" s="201" t="s">
        <v>610</v>
      </c>
      <c r="D559" s="201" t="s">
        <v>30</v>
      </c>
      <c r="E559" s="202">
        <v>10000</v>
      </c>
      <c r="F559" s="202">
        <v>10000</v>
      </c>
      <c r="G559" s="202">
        <v>10000</v>
      </c>
      <c r="H559" s="202">
        <v>10000</v>
      </c>
      <c r="I559" s="203">
        <v>1</v>
      </c>
      <c r="J559" s="231"/>
    </row>
    <row r="560" spans="1:10" ht="30" outlineLevel="3" x14ac:dyDescent="0.25">
      <c r="A560" s="204" t="s">
        <v>611</v>
      </c>
      <c r="B560" s="201"/>
      <c r="C560" s="201" t="s">
        <v>612</v>
      </c>
      <c r="D560" s="201" t="s">
        <v>30</v>
      </c>
      <c r="E560" s="202">
        <v>1000000</v>
      </c>
      <c r="F560" s="202">
        <v>1000000</v>
      </c>
      <c r="G560" s="202">
        <v>1000000</v>
      </c>
      <c r="H560" s="202">
        <v>952500</v>
      </c>
      <c r="I560" s="203">
        <v>1</v>
      </c>
      <c r="J560" s="231"/>
    </row>
    <row r="561" spans="1:10" ht="75" outlineLevel="4" x14ac:dyDescent="0.25">
      <c r="A561" s="204" t="s">
        <v>308</v>
      </c>
      <c r="B561" s="201" t="s">
        <v>309</v>
      </c>
      <c r="C561" s="201" t="s">
        <v>612</v>
      </c>
      <c r="D561" s="201" t="s">
        <v>30</v>
      </c>
      <c r="E561" s="202">
        <v>1000000</v>
      </c>
      <c r="F561" s="202">
        <v>1000000</v>
      </c>
      <c r="G561" s="202">
        <v>1000000</v>
      </c>
      <c r="H561" s="202">
        <v>952500</v>
      </c>
      <c r="I561" s="203">
        <v>1</v>
      </c>
      <c r="J561" s="231"/>
    </row>
    <row r="562" spans="1:10" ht="30" outlineLevel="3" x14ac:dyDescent="0.25">
      <c r="A562" s="204" t="s">
        <v>613</v>
      </c>
      <c r="B562" s="201"/>
      <c r="C562" s="201" t="s">
        <v>614</v>
      </c>
      <c r="D562" s="201" t="s">
        <v>30</v>
      </c>
      <c r="E562" s="202">
        <v>465757.33</v>
      </c>
      <c r="F562" s="202">
        <v>465757.33</v>
      </c>
      <c r="G562" s="202">
        <v>305249.49</v>
      </c>
      <c r="H562" s="202">
        <v>305249.49</v>
      </c>
      <c r="I562" s="203">
        <v>0.65538311549492956</v>
      </c>
      <c r="J562" s="231"/>
    </row>
    <row r="563" spans="1:10" ht="75" outlineLevel="4" x14ac:dyDescent="0.25">
      <c r="A563" s="204" t="s">
        <v>543</v>
      </c>
      <c r="B563" s="201" t="s">
        <v>544</v>
      </c>
      <c r="C563" s="201" t="s">
        <v>614</v>
      </c>
      <c r="D563" s="201" t="s">
        <v>30</v>
      </c>
      <c r="E563" s="202">
        <v>215757.33</v>
      </c>
      <c r="F563" s="202">
        <v>215757.33</v>
      </c>
      <c r="G563" s="202">
        <v>55249.49</v>
      </c>
      <c r="H563" s="202">
        <v>55249.49</v>
      </c>
      <c r="I563" s="203">
        <v>0.2560723661161361</v>
      </c>
      <c r="J563" s="231"/>
    </row>
    <row r="564" spans="1:10" ht="75" outlineLevel="4" x14ac:dyDescent="0.25">
      <c r="A564" s="204" t="s">
        <v>308</v>
      </c>
      <c r="B564" s="201" t="s">
        <v>309</v>
      </c>
      <c r="C564" s="201" t="s">
        <v>614</v>
      </c>
      <c r="D564" s="201" t="s">
        <v>30</v>
      </c>
      <c r="E564" s="202">
        <v>250000</v>
      </c>
      <c r="F564" s="202">
        <v>250000</v>
      </c>
      <c r="G564" s="202">
        <v>250000</v>
      </c>
      <c r="H564" s="202">
        <v>250000</v>
      </c>
      <c r="I564" s="203">
        <v>1</v>
      </c>
      <c r="J564" s="231"/>
    </row>
    <row r="565" spans="1:10" ht="75" outlineLevel="3" x14ac:dyDescent="0.25">
      <c r="A565" s="204" t="s">
        <v>615</v>
      </c>
      <c r="B565" s="201"/>
      <c r="C565" s="201" t="s">
        <v>616</v>
      </c>
      <c r="D565" s="201" t="s">
        <v>34</v>
      </c>
      <c r="E565" s="202">
        <v>3934.93</v>
      </c>
      <c r="F565" s="202">
        <v>3934.93</v>
      </c>
      <c r="G565" s="202">
        <v>2691</v>
      </c>
      <c r="H565" s="202">
        <v>2691</v>
      </c>
      <c r="I565" s="203">
        <v>0.68387493551346534</v>
      </c>
      <c r="J565" s="231"/>
    </row>
    <row r="566" spans="1:10" ht="75" outlineLevel="4" x14ac:dyDescent="0.25">
      <c r="A566" s="204" t="s">
        <v>308</v>
      </c>
      <c r="B566" s="201" t="s">
        <v>309</v>
      </c>
      <c r="C566" s="201" t="s">
        <v>616</v>
      </c>
      <c r="D566" s="201" t="s">
        <v>34</v>
      </c>
      <c r="E566" s="202">
        <v>3934.93</v>
      </c>
      <c r="F566" s="202">
        <v>3934.93</v>
      </c>
      <c r="G566" s="202">
        <v>2691</v>
      </c>
      <c r="H566" s="202">
        <v>2691</v>
      </c>
      <c r="I566" s="203">
        <v>0.68387493551346534</v>
      </c>
      <c r="J566" s="231"/>
    </row>
    <row r="567" spans="1:10" ht="30" outlineLevel="3" x14ac:dyDescent="0.25">
      <c r="A567" s="204" t="s">
        <v>617</v>
      </c>
      <c r="B567" s="201"/>
      <c r="C567" s="201" t="s">
        <v>618</v>
      </c>
      <c r="D567" s="201" t="s">
        <v>34</v>
      </c>
      <c r="E567" s="202">
        <v>666000</v>
      </c>
      <c r="F567" s="202">
        <v>666000</v>
      </c>
      <c r="G567" s="202">
        <v>0</v>
      </c>
      <c r="H567" s="202">
        <v>0</v>
      </c>
      <c r="I567" s="203">
        <v>0</v>
      </c>
      <c r="J567" s="231"/>
    </row>
    <row r="568" spans="1:10" ht="75" outlineLevel="4" x14ac:dyDescent="0.25">
      <c r="A568" s="204" t="s">
        <v>308</v>
      </c>
      <c r="B568" s="201" t="s">
        <v>309</v>
      </c>
      <c r="C568" s="201" t="s">
        <v>618</v>
      </c>
      <c r="D568" s="201" t="s">
        <v>34</v>
      </c>
      <c r="E568" s="202">
        <v>666000</v>
      </c>
      <c r="F568" s="202">
        <v>666000</v>
      </c>
      <c r="G568" s="202">
        <v>0</v>
      </c>
      <c r="H568" s="202">
        <v>0</v>
      </c>
      <c r="I568" s="203">
        <v>0</v>
      </c>
      <c r="J568" s="231"/>
    </row>
    <row r="569" spans="1:10" ht="105" outlineLevel="3" x14ac:dyDescent="0.25">
      <c r="A569" s="204" t="s">
        <v>619</v>
      </c>
      <c r="B569" s="201"/>
      <c r="C569" s="201" t="s">
        <v>620</v>
      </c>
      <c r="D569" s="201" t="s">
        <v>30</v>
      </c>
      <c r="E569" s="202">
        <v>9827685.9900000002</v>
      </c>
      <c r="F569" s="202">
        <v>9827685.9900000002</v>
      </c>
      <c r="G569" s="202">
        <v>7370765.0099999998</v>
      </c>
      <c r="H569" s="202">
        <v>7370765.0099999998</v>
      </c>
      <c r="I569" s="203">
        <v>0.75000005265736014</v>
      </c>
      <c r="J569" s="231"/>
    </row>
    <row r="570" spans="1:10" ht="75" outlineLevel="4" x14ac:dyDescent="0.25">
      <c r="A570" s="204" t="s">
        <v>308</v>
      </c>
      <c r="B570" s="201" t="s">
        <v>309</v>
      </c>
      <c r="C570" s="201" t="s">
        <v>620</v>
      </c>
      <c r="D570" s="201" t="s">
        <v>30</v>
      </c>
      <c r="E570" s="202">
        <v>9827685.9900000002</v>
      </c>
      <c r="F570" s="202">
        <v>9827685.9900000002</v>
      </c>
      <c r="G570" s="202">
        <v>7370765.0099999998</v>
      </c>
      <c r="H570" s="202">
        <v>7370765.0099999998</v>
      </c>
      <c r="I570" s="203">
        <v>0.75000005265736014</v>
      </c>
      <c r="J570" s="231"/>
    </row>
    <row r="571" spans="1:10" ht="30" outlineLevel="3" x14ac:dyDescent="0.25">
      <c r="A571" s="204" t="s">
        <v>621</v>
      </c>
      <c r="B571" s="201"/>
      <c r="C571" s="201" t="s">
        <v>622</v>
      </c>
      <c r="D571" s="201" t="s">
        <v>30</v>
      </c>
      <c r="E571" s="202">
        <v>16646416.550000001</v>
      </c>
      <c r="F571" s="202">
        <v>16646416.550000001</v>
      </c>
      <c r="G571" s="202">
        <v>12635207.710000001</v>
      </c>
      <c r="H571" s="202">
        <v>12635207.710000001</v>
      </c>
      <c r="I571" s="203">
        <v>0.75903469506775023</v>
      </c>
      <c r="J571" s="231"/>
    </row>
    <row r="572" spans="1:10" ht="75" outlineLevel="4" x14ac:dyDescent="0.25">
      <c r="A572" s="204" t="s">
        <v>308</v>
      </c>
      <c r="B572" s="201" t="s">
        <v>309</v>
      </c>
      <c r="C572" s="201" t="s">
        <v>622</v>
      </c>
      <c r="D572" s="201" t="s">
        <v>30</v>
      </c>
      <c r="E572" s="202">
        <v>9027874.0299999993</v>
      </c>
      <c r="F572" s="202">
        <v>9027874.0299999993</v>
      </c>
      <c r="G572" s="202">
        <v>9027874.0299999993</v>
      </c>
      <c r="H572" s="202">
        <v>9027874.0299999993</v>
      </c>
      <c r="I572" s="203">
        <v>1</v>
      </c>
      <c r="J572" s="231"/>
    </row>
    <row r="573" spans="1:10" ht="30" outlineLevel="4" x14ac:dyDescent="0.25">
      <c r="A573" s="204" t="s">
        <v>545</v>
      </c>
      <c r="B573" s="201" t="s">
        <v>546</v>
      </c>
      <c r="C573" s="201" t="s">
        <v>622</v>
      </c>
      <c r="D573" s="201" t="s">
        <v>30</v>
      </c>
      <c r="E573" s="202">
        <v>5757444.04</v>
      </c>
      <c r="F573" s="202">
        <v>5757444.04</v>
      </c>
      <c r="G573" s="202">
        <v>1746235.2</v>
      </c>
      <c r="H573" s="202">
        <v>1746235.2</v>
      </c>
      <c r="I573" s="203">
        <v>0.30330042078880542</v>
      </c>
      <c r="J573" s="231"/>
    </row>
    <row r="574" spans="1:10" ht="45" outlineLevel="4" x14ac:dyDescent="0.25">
      <c r="A574" s="204" t="s">
        <v>262</v>
      </c>
      <c r="B574" s="201" t="s">
        <v>263</v>
      </c>
      <c r="C574" s="201" t="s">
        <v>622</v>
      </c>
      <c r="D574" s="201" t="s">
        <v>30</v>
      </c>
      <c r="E574" s="202">
        <v>1861098.48</v>
      </c>
      <c r="F574" s="202">
        <v>1861098.48</v>
      </c>
      <c r="G574" s="202">
        <v>1861098.48</v>
      </c>
      <c r="H574" s="202">
        <v>1861098.48</v>
      </c>
      <c r="I574" s="203">
        <v>1</v>
      </c>
      <c r="J574" s="231"/>
    </row>
    <row r="575" spans="1:10" ht="12.75" customHeight="1" x14ac:dyDescent="0.25">
      <c r="A575" s="215" t="s">
        <v>623</v>
      </c>
      <c r="B575" s="216" t="s">
        <v>624</v>
      </c>
      <c r="C575" s="217"/>
      <c r="D575" s="218"/>
      <c r="E575" s="219">
        <v>3398350897.73</v>
      </c>
      <c r="F575" s="219">
        <v>3397892375.8499999</v>
      </c>
      <c r="G575" s="219">
        <v>2249383937.6199999</v>
      </c>
      <c r="H575" s="219">
        <v>2247904886.1500001</v>
      </c>
      <c r="I575" s="220">
        <v>0.66190455468342702</v>
      </c>
      <c r="J575" s="231"/>
    </row>
    <row r="576" spans="1:10" ht="22.5" customHeight="1" x14ac:dyDescent="0.25">
      <c r="A576" s="221"/>
      <c r="B576" s="221"/>
      <c r="C576" s="221"/>
      <c r="D576" s="221" t="s">
        <v>625</v>
      </c>
      <c r="E576" s="198">
        <v>41074400.799999997</v>
      </c>
      <c r="F576" s="194"/>
      <c r="G576" s="194"/>
      <c r="H576" s="198">
        <v>29403498.57</v>
      </c>
      <c r="I576" s="194"/>
      <c r="J576" s="231"/>
    </row>
    <row r="577" spans="1:10" x14ac:dyDescent="0.25">
      <c r="A577" s="222"/>
      <c r="B577" s="223"/>
      <c r="C577" s="223"/>
      <c r="D577" s="223"/>
      <c r="E577" s="224">
        <f>E575-E576</f>
        <v>3357276496.9299998</v>
      </c>
      <c r="F577" s="223"/>
      <c r="G577" s="223"/>
      <c r="H577" s="225">
        <f>H575-H576</f>
        <v>2218501387.5799999</v>
      </c>
      <c r="I577" s="226"/>
      <c r="J577" s="231"/>
    </row>
    <row r="578" spans="1:10" x14ac:dyDescent="0.25">
      <c r="E578" s="228"/>
    </row>
    <row r="579" spans="1:10" x14ac:dyDescent="0.25">
      <c r="E579" s="228"/>
      <c r="F579" s="228"/>
      <c r="H579" s="228"/>
    </row>
    <row r="580" spans="1:10" x14ac:dyDescent="0.25">
      <c r="C580" s="230"/>
    </row>
    <row r="583" spans="1:10" x14ac:dyDescent="0.25">
      <c r="E583" s="228"/>
      <c r="F583" s="228"/>
    </row>
    <row r="585" spans="1:10" x14ac:dyDescent="0.25">
      <c r="E585" s="228"/>
    </row>
  </sheetData>
  <autoFilter ref="A6:I575"/>
  <mergeCells count="30">
    <mergeCell ref="A1:E1"/>
    <mergeCell ref="A2:E2"/>
    <mergeCell ref="A3:I3"/>
    <mergeCell ref="A4:I4"/>
    <mergeCell ref="A5:I5"/>
    <mergeCell ref="F6:F7"/>
    <mergeCell ref="G6:G7"/>
    <mergeCell ref="H6:H7"/>
    <mergeCell ref="I6:I7"/>
    <mergeCell ref="A63:A65"/>
    <mergeCell ref="C63:C65"/>
    <mergeCell ref="A6:A7"/>
    <mergeCell ref="B6:B7"/>
    <mergeCell ref="C6:C7"/>
    <mergeCell ref="D6:D7"/>
    <mergeCell ref="E6:E7"/>
    <mergeCell ref="A101:A104"/>
    <mergeCell ref="C101:C104"/>
    <mergeCell ref="A164:A167"/>
    <mergeCell ref="C164:C167"/>
    <mergeCell ref="A217:A220"/>
    <mergeCell ref="C217:C220"/>
    <mergeCell ref="A500:A502"/>
    <mergeCell ref="C500:C502"/>
    <mergeCell ref="A244:A246"/>
    <mergeCell ref="C244:C246"/>
    <mergeCell ref="A323:A325"/>
    <mergeCell ref="C323:C325"/>
    <mergeCell ref="A329:A331"/>
    <mergeCell ref="C329:C331"/>
  </mergeCells>
  <pageMargins left="0.59027779999999996" right="0.59027779999999996" top="0.59027779999999996" bottom="0.59027779999999996" header="0.39374999999999999" footer="0.39374999999999999"/>
  <pageSetup paperSize="9" fitToHeight="2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385"/>
  <sheetViews>
    <sheetView topLeftCell="A3" zoomScaleNormal="100" zoomScaleSheetLayoutView="100" workbookViewId="0">
      <pane xSplit="2" ySplit="15" topLeftCell="C363" activePane="bottomRight" state="frozen"/>
      <selection activeCell="A3" sqref="A3"/>
      <selection pane="topRight" activeCell="C3" sqref="C3"/>
      <selection pane="bottomLeft" activeCell="A7" sqref="A7"/>
      <selection pane="bottomRight" activeCell="A377" sqref="A377:XFD378"/>
    </sheetView>
  </sheetViews>
  <sheetFormatPr defaultRowHeight="15" x14ac:dyDescent="0.25"/>
  <cols>
    <col min="1" max="1" width="4.85546875" style="2" customWidth="1"/>
    <col min="2" max="2" width="74" style="2" customWidth="1"/>
    <col min="3" max="3" width="5.85546875" style="2" customWidth="1"/>
    <col min="4" max="4" width="15" style="4" customWidth="1"/>
    <col min="5" max="5" width="15" style="335" customWidth="1"/>
    <col min="6" max="6" width="13.5703125" style="594" customWidth="1"/>
    <col min="7" max="7" width="27.7109375" style="2" hidden="1" customWidth="1"/>
    <col min="8" max="8" width="33.42578125" style="2" customWidth="1"/>
    <col min="9" max="9" width="15" style="2" customWidth="1"/>
    <col min="10" max="10" width="38.28515625" style="2" customWidth="1"/>
    <col min="11" max="11" width="20.42578125" style="2" customWidth="1"/>
    <col min="12" max="12" width="19.28515625" style="12" bestFit="1" customWidth="1"/>
    <col min="13" max="13" width="13.28515625" style="12" customWidth="1"/>
    <col min="14" max="14" width="14.140625" style="12" customWidth="1"/>
    <col min="15" max="15" width="13.7109375" style="12" customWidth="1"/>
    <col min="16" max="16" width="11.42578125" style="6" customWidth="1"/>
    <col min="17" max="17" width="14.42578125" style="7" customWidth="1"/>
    <col min="18" max="18" width="17.42578125" style="7" bestFit="1" customWidth="1"/>
    <col min="19" max="19" width="17.42578125" style="7" customWidth="1"/>
    <col min="20" max="20" width="9.140625" style="7"/>
    <col min="21" max="16384" width="9.140625" style="2"/>
  </cols>
  <sheetData>
    <row r="1" spans="1:18" ht="12" customHeight="1" x14ac:dyDescent="0.25">
      <c r="A1" s="1"/>
      <c r="C1" s="3"/>
      <c r="K1" s="5" t="s">
        <v>0</v>
      </c>
    </row>
    <row r="2" spans="1:18" ht="18.75" customHeight="1" x14ac:dyDescent="0.25">
      <c r="A2" s="1"/>
      <c r="C2" s="3"/>
    </row>
    <row r="3" spans="1:18" ht="12.75" customHeight="1" x14ac:dyDescent="0.25">
      <c r="A3" s="511" t="s">
        <v>1004</v>
      </c>
      <c r="B3" s="511"/>
      <c r="C3" s="511"/>
      <c r="D3" s="511"/>
      <c r="E3" s="511"/>
      <c r="F3" s="511"/>
      <c r="G3" s="511"/>
      <c r="H3" s="511"/>
      <c r="I3" s="511"/>
      <c r="J3" s="511"/>
      <c r="K3" s="511"/>
    </row>
    <row r="4" spans="1:18" ht="12.75" hidden="1" customHeight="1" x14ac:dyDescent="0.25">
      <c r="A4" s="171"/>
      <c r="B4" s="171"/>
      <c r="C4" s="171"/>
      <c r="D4" s="171"/>
      <c r="E4" s="336"/>
      <c r="F4" s="429"/>
      <c r="G4" s="171"/>
      <c r="H4" s="171"/>
      <c r="I4" s="171"/>
      <c r="J4" s="171"/>
      <c r="K4" s="171"/>
    </row>
    <row r="5" spans="1:18" ht="12.75" hidden="1" customHeight="1" x14ac:dyDescent="0.25">
      <c r="A5" s="171"/>
      <c r="B5" s="171"/>
      <c r="C5" s="9"/>
      <c r="D5" s="10">
        <f>D6+D7+D8+D9</f>
        <v>2112189679.76</v>
      </c>
      <c r="E5" s="337">
        <f>D5-D18</f>
        <v>-68399926.599999666</v>
      </c>
      <c r="F5" s="429"/>
      <c r="G5" s="171"/>
      <c r="H5" s="171"/>
      <c r="I5" s="171"/>
      <c r="J5" s="171"/>
      <c r="K5" s="171"/>
    </row>
    <row r="6" spans="1:18" ht="12.75" hidden="1" customHeight="1" x14ac:dyDescent="0.25">
      <c r="A6" s="171"/>
      <c r="B6" s="171"/>
      <c r="C6" s="9" t="s">
        <v>2</v>
      </c>
      <c r="D6" s="10">
        <f>'[3]табл.8 11.10.21'!H7</f>
        <v>816562941.31000006</v>
      </c>
      <c r="E6" s="337">
        <f>D6-D19</f>
        <v>-26267307.799999833</v>
      </c>
      <c r="F6" s="429"/>
      <c r="G6" s="171"/>
      <c r="H6" s="171"/>
      <c r="I6" s="171"/>
      <c r="J6" s="171"/>
      <c r="K6" s="171"/>
    </row>
    <row r="7" spans="1:18" ht="12.75" hidden="1" customHeight="1" x14ac:dyDescent="0.25">
      <c r="A7" s="171"/>
      <c r="B7" s="171"/>
      <c r="C7" s="9" t="s">
        <v>3</v>
      </c>
      <c r="D7" s="10">
        <f>'[3]табл.8 11.10.21'!F7</f>
        <v>1067184320.5900002</v>
      </c>
      <c r="E7" s="337">
        <f>D7-D20</f>
        <v>-63844330.439999819</v>
      </c>
      <c r="F7" s="9" t="s">
        <v>4</v>
      </c>
      <c r="G7" s="10">
        <f>'[3]табл.8 11.10.21'!E424</f>
        <v>1952772214.4500003</v>
      </c>
      <c r="H7" s="10">
        <f>G7-D23</f>
        <v>-66429514.46999979</v>
      </c>
      <c r="I7" s="171"/>
      <c r="J7" s="171"/>
      <c r="K7" s="171"/>
    </row>
    <row r="8" spans="1:18" ht="12.75" hidden="1" customHeight="1" x14ac:dyDescent="0.25">
      <c r="A8" s="171"/>
      <c r="B8" s="171"/>
      <c r="C8" s="9" t="s">
        <v>5</v>
      </c>
      <c r="D8" s="10">
        <f>'[3]табл.8 11.10.21'!G7</f>
        <v>94351100.859999999</v>
      </c>
      <c r="E8" s="337">
        <f>D8-D21</f>
        <v>-2811914.1599999964</v>
      </c>
      <c r="F8" s="9" t="s">
        <v>6</v>
      </c>
      <c r="G8" s="10">
        <f>'[3]табл.8 11.10.21'!E409</f>
        <v>106603015.96000001</v>
      </c>
      <c r="H8" s="10">
        <f>G8-D28</f>
        <v>-3536015.7300000042</v>
      </c>
      <c r="I8" s="171"/>
      <c r="J8" s="171"/>
      <c r="K8" s="171"/>
    </row>
    <row r="9" spans="1:18" ht="12.75" hidden="1" customHeight="1" x14ac:dyDescent="0.25">
      <c r="A9" s="171"/>
      <c r="B9" s="171"/>
      <c r="C9" s="9" t="s">
        <v>7</v>
      </c>
      <c r="D9" s="10">
        <f>'[3]табл.8 11.10.21'!I7</f>
        <v>134091317</v>
      </c>
      <c r="E9" s="337">
        <f>D9-D22</f>
        <v>24523625.799999997</v>
      </c>
      <c r="F9" s="9" t="s">
        <v>8</v>
      </c>
      <c r="G9" s="10">
        <f>'[3]табл.8 11.10.21'!E417</f>
        <v>52814449.350000001</v>
      </c>
      <c r="H9" s="10">
        <f>G9-D33</f>
        <v>1565603.6000000015</v>
      </c>
      <c r="I9" s="171"/>
      <c r="J9" s="171"/>
      <c r="K9" s="171"/>
    </row>
    <row r="10" spans="1:18" ht="12.75" customHeight="1" x14ac:dyDescent="0.25">
      <c r="A10" s="171"/>
      <c r="B10" s="171"/>
      <c r="C10" s="9"/>
      <c r="D10" s="10"/>
      <c r="E10" s="337"/>
      <c r="F10" s="10"/>
      <c r="G10" s="10"/>
      <c r="H10" s="10"/>
      <c r="I10" s="171"/>
      <c r="J10" s="171"/>
      <c r="K10" s="171"/>
    </row>
    <row r="11" spans="1:18" ht="12.75" hidden="1" customHeight="1" x14ac:dyDescent="0.25">
      <c r="A11" s="171"/>
      <c r="B11" s="171"/>
      <c r="C11" s="9"/>
      <c r="D11" s="10" t="s">
        <v>10</v>
      </c>
      <c r="E11" s="337">
        <f>E12+E13+E14</f>
        <v>1355152142.4500003</v>
      </c>
      <c r="F11" s="11">
        <f>E11-E23+E27</f>
        <v>-544016646.97999978</v>
      </c>
      <c r="G11" s="10"/>
      <c r="H11" s="10"/>
      <c r="I11" s="171"/>
      <c r="J11" s="171"/>
      <c r="K11" s="171"/>
      <c r="R11" s="7" t="s">
        <v>11</v>
      </c>
    </row>
    <row r="12" spans="1:18" ht="12.75" hidden="1" customHeight="1" x14ac:dyDescent="0.25">
      <c r="A12" s="171"/>
      <c r="B12" s="171"/>
      <c r="C12" s="9"/>
      <c r="D12" s="9" t="s">
        <v>2</v>
      </c>
      <c r="E12" s="337">
        <f>'[3]01 10 2021'!M134</f>
        <v>504979707.38999993</v>
      </c>
      <c r="F12" s="11">
        <f>('11а. Отч мероп 01.01.2022'!I299+0.5*'11а. Отч мероп 01.01.2022'!I300)</f>
        <v>3</v>
      </c>
      <c r="G12" s="12" t="s">
        <v>12</v>
      </c>
      <c r="H12" s="10"/>
      <c r="I12" s="159"/>
      <c r="J12" s="171"/>
      <c r="K12" s="171"/>
    </row>
    <row r="13" spans="1:18" ht="12.75" hidden="1" customHeight="1" x14ac:dyDescent="0.25">
      <c r="A13" s="171"/>
      <c r="B13" s="171"/>
      <c r="C13" s="9"/>
      <c r="D13" s="9" t="s">
        <v>3</v>
      </c>
      <c r="E13" s="337">
        <f>'[3]01 10 2021'!M132-E14</f>
        <v>782499099.62000036</v>
      </c>
      <c r="F13" s="11">
        <f>E13-E25</f>
        <v>-324234039.75869966</v>
      </c>
      <c r="G13" s="6" t="s">
        <v>13</v>
      </c>
      <c r="H13" s="10"/>
      <c r="I13" s="159"/>
      <c r="J13" s="171"/>
      <c r="K13" s="171"/>
    </row>
    <row r="14" spans="1:18" ht="12.75" hidden="1" customHeight="1" x14ac:dyDescent="0.25">
      <c r="A14" s="171"/>
      <c r="B14" s="171"/>
      <c r="C14" s="9"/>
      <c r="D14" s="9" t="s">
        <v>5</v>
      </c>
      <c r="E14" s="337">
        <f>'[3]01 10 2021'!M29+'[3]01 10 2021'!M30+'[3]01 10 2021'!M37+'[3]01 10 2021'!M52+'[3]01 10 2021'!M104-6018953.53</f>
        <v>67673335.439999998</v>
      </c>
      <c r="F14" s="11">
        <f>E14-E26</f>
        <v>-16181007.221300006</v>
      </c>
      <c r="G14" s="10"/>
      <c r="H14" s="10"/>
      <c r="I14" s="171"/>
      <c r="J14" s="171"/>
      <c r="K14" s="171"/>
    </row>
    <row r="15" spans="1:18" ht="12.75" hidden="1" customHeight="1" x14ac:dyDescent="0.25">
      <c r="A15" s="171"/>
      <c r="B15" s="171"/>
      <c r="C15" s="9"/>
      <c r="D15" s="160" t="s">
        <v>7</v>
      </c>
      <c r="E15" s="338">
        <f>'[4]01.10.'!$I$52</f>
        <v>89193374.300000012</v>
      </c>
      <c r="F15" s="161">
        <f>E15-E27</f>
        <v>-16596020.029999971</v>
      </c>
      <c r="G15" s="10" t="s">
        <v>180</v>
      </c>
      <c r="H15" s="10"/>
      <c r="I15" s="171"/>
      <c r="J15" s="171"/>
      <c r="K15" s="171"/>
    </row>
    <row r="16" spans="1:18" ht="27" customHeight="1" x14ac:dyDescent="0.25">
      <c r="A16" s="449" t="s">
        <v>14</v>
      </c>
      <c r="B16" s="451" t="s">
        <v>15</v>
      </c>
      <c r="C16" s="451" t="s">
        <v>16</v>
      </c>
      <c r="D16" s="451"/>
      <c r="E16" s="451"/>
      <c r="F16" s="512" t="s">
        <v>17</v>
      </c>
      <c r="G16" s="451" t="s">
        <v>18</v>
      </c>
      <c r="H16" s="451"/>
      <c r="I16" s="451"/>
      <c r="J16" s="451" t="s">
        <v>19</v>
      </c>
      <c r="K16" s="451" t="s">
        <v>20</v>
      </c>
    </row>
    <row r="17" spans="1:20" ht="30.75" customHeight="1" x14ac:dyDescent="0.25">
      <c r="A17" s="449"/>
      <c r="B17" s="451"/>
      <c r="C17" s="172" t="s">
        <v>21</v>
      </c>
      <c r="D17" s="173" t="s">
        <v>22</v>
      </c>
      <c r="E17" s="339" t="s">
        <v>23</v>
      </c>
      <c r="F17" s="512"/>
      <c r="G17" s="172" t="s">
        <v>24</v>
      </c>
      <c r="H17" s="172" t="s">
        <v>25</v>
      </c>
      <c r="I17" s="172" t="s">
        <v>26</v>
      </c>
      <c r="J17" s="451"/>
      <c r="K17" s="451"/>
    </row>
    <row r="18" spans="1:20" ht="12" customHeight="1" x14ac:dyDescent="0.25">
      <c r="A18" s="449"/>
      <c r="B18" s="506" t="s">
        <v>27</v>
      </c>
      <c r="C18" s="172" t="s">
        <v>28</v>
      </c>
      <c r="D18" s="15">
        <f>D19+D20+D21+D22</f>
        <v>2180589606.3599997</v>
      </c>
      <c r="E18" s="15">
        <f>E19+E20+E21+E22</f>
        <v>2166382354.4700003</v>
      </c>
      <c r="F18" s="595">
        <f>E18/D18</f>
        <v>0.993484674122741</v>
      </c>
      <c r="G18" s="457"/>
      <c r="H18" s="19" t="s">
        <v>29</v>
      </c>
      <c r="I18" s="17">
        <f>I23+I28+I33</f>
        <v>14</v>
      </c>
      <c r="J18" s="534" t="s">
        <v>876</v>
      </c>
      <c r="K18" s="451"/>
    </row>
    <row r="19" spans="1:20" ht="12" customHeight="1" x14ac:dyDescent="0.25">
      <c r="A19" s="449"/>
      <c r="B19" s="506"/>
      <c r="C19" s="172" t="s">
        <v>30</v>
      </c>
      <c r="D19" s="15">
        <f>D39+D94+D139+D249+D299</f>
        <v>842830249.1099999</v>
      </c>
      <c r="E19" s="80">
        <f>E39+E94+E139+E249+E299</f>
        <v>842660998.01000011</v>
      </c>
      <c r="F19" s="595">
        <f t="shared" ref="F19:F37" si="0">E19/D19</f>
        <v>0.99979918720266803</v>
      </c>
      <c r="G19" s="457"/>
      <c r="H19" s="174" t="s">
        <v>31</v>
      </c>
      <c r="I19" s="236">
        <f t="shared" ref="I19:I21" si="1">I24+I29+I34</f>
        <v>12</v>
      </c>
      <c r="J19" s="534"/>
      <c r="K19" s="451"/>
    </row>
    <row r="20" spans="1:20" ht="12" customHeight="1" x14ac:dyDescent="0.25">
      <c r="A20" s="449"/>
      <c r="B20" s="506"/>
      <c r="C20" s="172" t="s">
        <v>32</v>
      </c>
      <c r="D20" s="15">
        <f t="shared" ref="D20:E22" si="2">D40+D95+D140+D250+D300</f>
        <v>1131028651.03</v>
      </c>
      <c r="E20" s="80">
        <f t="shared" si="2"/>
        <v>1121190783.9087</v>
      </c>
      <c r="F20" s="595">
        <f t="shared" si="0"/>
        <v>0.9913018409283082</v>
      </c>
      <c r="G20" s="457"/>
      <c r="H20" s="174" t="s">
        <v>33</v>
      </c>
      <c r="I20" s="236">
        <f t="shared" si="1"/>
        <v>2</v>
      </c>
      <c r="J20" s="534"/>
      <c r="K20" s="451"/>
    </row>
    <row r="21" spans="1:20" ht="12" customHeight="1" x14ac:dyDescent="0.25">
      <c r="A21" s="449"/>
      <c r="B21" s="506"/>
      <c r="C21" s="172" t="s">
        <v>34</v>
      </c>
      <c r="D21" s="15">
        <f t="shared" si="2"/>
        <v>97163015.019999996</v>
      </c>
      <c r="E21" s="80">
        <f t="shared" si="2"/>
        <v>93180682.681299999</v>
      </c>
      <c r="F21" s="595">
        <f t="shared" si="0"/>
        <v>0.9590139073197731</v>
      </c>
      <c r="G21" s="457"/>
      <c r="H21" s="174" t="s">
        <v>35</v>
      </c>
      <c r="I21" s="236">
        <f t="shared" si="1"/>
        <v>0</v>
      </c>
      <c r="J21" s="534"/>
      <c r="K21" s="451"/>
    </row>
    <row r="22" spans="1:20" ht="12" customHeight="1" x14ac:dyDescent="0.25">
      <c r="A22" s="449"/>
      <c r="B22" s="506"/>
      <c r="C22" s="172" t="s">
        <v>36</v>
      </c>
      <c r="D22" s="15">
        <f t="shared" si="2"/>
        <v>109567691.2</v>
      </c>
      <c r="E22" s="80">
        <f>E42+E97+E142+E252+E302</f>
        <v>109349889.86999999</v>
      </c>
      <c r="F22" s="595">
        <f t="shared" si="0"/>
        <v>0.99801217560017352</v>
      </c>
      <c r="G22" s="457"/>
      <c r="H22" s="174" t="s">
        <v>37</v>
      </c>
      <c r="I22" s="628">
        <f>(I19+0.5*I20)/I18*100%</f>
        <v>0.9285714285714286</v>
      </c>
      <c r="J22" s="534"/>
      <c r="K22" s="451"/>
    </row>
    <row r="23" spans="1:20" s="22" customFormat="1" ht="12" customHeight="1" x14ac:dyDescent="0.25">
      <c r="A23" s="449"/>
      <c r="B23" s="506" t="s">
        <v>38</v>
      </c>
      <c r="C23" s="17" t="s">
        <v>28</v>
      </c>
      <c r="D23" s="18">
        <f>D24+D25+D26+D27</f>
        <v>2019201728.9200001</v>
      </c>
      <c r="E23" s="78">
        <f>E24+E25+E26+E27</f>
        <v>2004958183.76</v>
      </c>
      <c r="F23" s="596">
        <f t="shared" si="0"/>
        <v>0.99294595237514061</v>
      </c>
      <c r="G23" s="457"/>
      <c r="H23" s="19" t="s">
        <v>39</v>
      </c>
      <c r="I23" s="17">
        <f>SUM(I24:I26)</f>
        <v>10</v>
      </c>
      <c r="J23" s="534" t="s">
        <v>877</v>
      </c>
      <c r="K23" s="451"/>
      <c r="L23" s="344"/>
      <c r="N23" s="45"/>
      <c r="O23" s="45"/>
      <c r="P23" s="20"/>
      <c r="Q23" s="21"/>
      <c r="R23" s="21"/>
      <c r="S23" s="21"/>
      <c r="T23" s="21"/>
    </row>
    <row r="24" spans="1:20" ht="12" customHeight="1" x14ac:dyDescent="0.25">
      <c r="A24" s="449"/>
      <c r="B24" s="506"/>
      <c r="C24" s="172" t="s">
        <v>30</v>
      </c>
      <c r="D24" s="15">
        <f>D39+D94+D144+D204-D224+D254+D264+D304+D329+D359</f>
        <v>708749823.73000002</v>
      </c>
      <c r="E24" s="15">
        <f>E39+E94+E144+E204-E224+E254+E264+E304+E329+E359</f>
        <v>708581307.3900001</v>
      </c>
      <c r="F24" s="595">
        <f t="shared" si="0"/>
        <v>0.99976223438178358</v>
      </c>
      <c r="G24" s="457"/>
      <c r="H24" s="174" t="s">
        <v>31</v>
      </c>
      <c r="I24" s="172">
        <f>I74+I44+I99+I119+I144+I254+I264+I304+I329+I359</f>
        <v>8</v>
      </c>
      <c r="J24" s="534"/>
      <c r="K24" s="451"/>
    </row>
    <row r="25" spans="1:20" ht="12" customHeight="1" x14ac:dyDescent="0.25">
      <c r="A25" s="449"/>
      <c r="B25" s="506"/>
      <c r="C25" s="172" t="s">
        <v>32</v>
      </c>
      <c r="D25" s="15">
        <f t="shared" ref="D25:E27" si="3">D40+D95+D145+D205-D225+D255+D265+D305+D330+D360</f>
        <v>1116571006.5</v>
      </c>
      <c r="E25" s="15">
        <f t="shared" si="3"/>
        <v>1106733139.3787</v>
      </c>
      <c r="F25" s="595">
        <f t="shared" si="0"/>
        <v>0.99118921495898615</v>
      </c>
      <c r="G25" s="457"/>
      <c r="H25" s="174" t="s">
        <v>33</v>
      </c>
      <c r="I25" s="236">
        <f t="shared" ref="I25:I26" si="4">I75+I45+I100+I120+I145+I255+I265+I305+I330+I360</f>
        <v>2</v>
      </c>
      <c r="J25" s="534"/>
      <c r="K25" s="451"/>
    </row>
    <row r="26" spans="1:20" ht="12" customHeight="1" x14ac:dyDescent="0.25">
      <c r="A26" s="449"/>
      <c r="B26" s="506"/>
      <c r="C26" s="172" t="s">
        <v>34</v>
      </c>
      <c r="D26" s="15">
        <f t="shared" si="3"/>
        <v>87836675</v>
      </c>
      <c r="E26" s="15">
        <f t="shared" si="3"/>
        <v>83854342.661300004</v>
      </c>
      <c r="F26" s="595">
        <f t="shared" si="0"/>
        <v>0.95466207778584522</v>
      </c>
      <c r="G26" s="457"/>
      <c r="H26" s="174" t="s">
        <v>35</v>
      </c>
      <c r="I26" s="236">
        <f t="shared" si="4"/>
        <v>0</v>
      </c>
      <c r="J26" s="534"/>
      <c r="K26" s="451"/>
    </row>
    <row r="27" spans="1:20" ht="12" customHeight="1" x14ac:dyDescent="0.25">
      <c r="A27" s="449"/>
      <c r="B27" s="506"/>
      <c r="C27" s="172" t="s">
        <v>36</v>
      </c>
      <c r="D27" s="15">
        <f t="shared" si="3"/>
        <v>106044223.69</v>
      </c>
      <c r="E27" s="15">
        <f t="shared" si="3"/>
        <v>105789394.32999998</v>
      </c>
      <c r="F27" s="595">
        <f t="shared" si="0"/>
        <v>0.99759695199669751</v>
      </c>
      <c r="G27" s="457"/>
      <c r="H27" s="174" t="s">
        <v>37</v>
      </c>
      <c r="I27" s="628">
        <f>(I24+0.5*I25)/I23*100%</f>
        <v>0.9</v>
      </c>
      <c r="J27" s="534"/>
      <c r="K27" s="451"/>
      <c r="L27" s="45"/>
      <c r="M27" s="45"/>
    </row>
    <row r="28" spans="1:20" ht="12" customHeight="1" x14ac:dyDescent="0.25">
      <c r="A28" s="449"/>
      <c r="B28" s="506" t="s">
        <v>40</v>
      </c>
      <c r="C28" s="17" t="s">
        <v>28</v>
      </c>
      <c r="D28" s="18">
        <f>D29+D30+D31+D32</f>
        <v>110139031.69000001</v>
      </c>
      <c r="E28" s="78">
        <f>E29+E30+E31+E32</f>
        <v>110175324.96000001</v>
      </c>
      <c r="F28" s="596">
        <f t="shared" si="0"/>
        <v>1.0003295223268545</v>
      </c>
      <c r="G28" s="457"/>
      <c r="H28" s="19" t="s">
        <v>39</v>
      </c>
      <c r="I28" s="17">
        <f>SUM(I29:I31)</f>
        <v>3</v>
      </c>
      <c r="J28" s="534" t="s">
        <v>878</v>
      </c>
      <c r="K28" s="451"/>
    </row>
    <row r="29" spans="1:20" ht="12" customHeight="1" x14ac:dyDescent="0.25">
      <c r="A29" s="449"/>
      <c r="B29" s="506"/>
      <c r="C29" s="172" t="s">
        <v>30</v>
      </c>
      <c r="D29" s="15">
        <f>D174+D224+D229</f>
        <v>82872380.63000001</v>
      </c>
      <c r="E29" s="15">
        <f>E174+E224+E229</f>
        <v>82871645.870000005</v>
      </c>
      <c r="F29" s="595">
        <f t="shared" si="0"/>
        <v>0.99999113383742066</v>
      </c>
      <c r="G29" s="457"/>
      <c r="H29" s="174" t="s">
        <v>31</v>
      </c>
      <c r="I29" s="172">
        <f>I174+I204+I229</f>
        <v>3</v>
      </c>
      <c r="J29" s="534"/>
      <c r="K29" s="451"/>
    </row>
    <row r="30" spans="1:20" ht="12" customHeight="1" x14ac:dyDescent="0.25">
      <c r="A30" s="449"/>
      <c r="B30" s="506"/>
      <c r="C30" s="172" t="s">
        <v>32</v>
      </c>
      <c r="D30" s="15">
        <f t="shared" ref="D30:E32" si="5">D175+D225+D230</f>
        <v>14457644.529999999</v>
      </c>
      <c r="E30" s="15">
        <f t="shared" si="5"/>
        <v>14457644.529999999</v>
      </c>
      <c r="F30" s="595">
        <f t="shared" si="0"/>
        <v>1</v>
      </c>
      <c r="G30" s="457"/>
      <c r="H30" s="174" t="s">
        <v>33</v>
      </c>
      <c r="I30" s="236">
        <f t="shared" ref="I30:I31" si="6">I175+I205+I230</f>
        <v>0</v>
      </c>
      <c r="J30" s="534"/>
      <c r="K30" s="451"/>
    </row>
    <row r="31" spans="1:20" ht="12" customHeight="1" x14ac:dyDescent="0.25">
      <c r="A31" s="449"/>
      <c r="B31" s="506"/>
      <c r="C31" s="172" t="s">
        <v>34</v>
      </c>
      <c r="D31" s="15">
        <f t="shared" si="5"/>
        <v>9326340.0199999996</v>
      </c>
      <c r="E31" s="15">
        <f t="shared" ref="E31" si="7">E176+E226+E231</f>
        <v>9326340.0199999996</v>
      </c>
      <c r="F31" s="595">
        <f t="shared" si="0"/>
        <v>1</v>
      </c>
      <c r="G31" s="457"/>
      <c r="H31" s="174" t="s">
        <v>35</v>
      </c>
      <c r="I31" s="236">
        <f t="shared" si="6"/>
        <v>0</v>
      </c>
      <c r="J31" s="534"/>
      <c r="K31" s="451"/>
    </row>
    <row r="32" spans="1:20" ht="12" customHeight="1" x14ac:dyDescent="0.25">
      <c r="A32" s="449"/>
      <c r="B32" s="506"/>
      <c r="C32" s="172" t="s">
        <v>36</v>
      </c>
      <c r="D32" s="15">
        <f t="shared" si="5"/>
        <v>3482666.51</v>
      </c>
      <c r="E32" s="15">
        <f t="shared" ref="E32" si="8">E177+E227+E232</f>
        <v>3519694.54</v>
      </c>
      <c r="F32" s="595">
        <f t="shared" si="0"/>
        <v>1.0106320917876228</v>
      </c>
      <c r="G32" s="457"/>
      <c r="H32" s="174" t="s">
        <v>37</v>
      </c>
      <c r="I32" s="628">
        <f>(I29+0.5*I30)/I28*100%</f>
        <v>1</v>
      </c>
      <c r="J32" s="534"/>
      <c r="K32" s="451"/>
    </row>
    <row r="33" spans="1:20" s="22" customFormat="1" ht="12" customHeight="1" x14ac:dyDescent="0.25">
      <c r="A33" s="449"/>
      <c r="B33" s="506" t="s">
        <v>41</v>
      </c>
      <c r="C33" s="17" t="s">
        <v>28</v>
      </c>
      <c r="D33" s="18">
        <f>D34+D35+D36+D37</f>
        <v>51248845.75</v>
      </c>
      <c r="E33" s="78">
        <f>E34+E35+E36+E37</f>
        <v>51248845.75</v>
      </c>
      <c r="F33" s="596">
        <f t="shared" si="0"/>
        <v>1</v>
      </c>
      <c r="G33" s="457"/>
      <c r="H33" s="19" t="s">
        <v>39</v>
      </c>
      <c r="I33" s="17">
        <f>SUM(I34:I36)</f>
        <v>1</v>
      </c>
      <c r="J33" s="534" t="s">
        <v>879</v>
      </c>
      <c r="K33" s="451"/>
      <c r="L33" s="45"/>
      <c r="M33" s="45"/>
      <c r="N33" s="45"/>
      <c r="O33" s="45"/>
      <c r="P33" s="20"/>
      <c r="Q33" s="21"/>
      <c r="R33" s="21"/>
      <c r="S33" s="21"/>
      <c r="T33" s="21"/>
    </row>
    <row r="34" spans="1:20" ht="12" customHeight="1" x14ac:dyDescent="0.25">
      <c r="A34" s="449"/>
      <c r="B34" s="506"/>
      <c r="C34" s="172" t="s">
        <v>30</v>
      </c>
      <c r="D34" s="15">
        <f>D319</f>
        <v>51208044.75</v>
      </c>
      <c r="E34" s="15">
        <f>E319</f>
        <v>51208044.75</v>
      </c>
      <c r="F34" s="595">
        <f t="shared" si="0"/>
        <v>1</v>
      </c>
      <c r="G34" s="457"/>
      <c r="H34" s="174" t="s">
        <v>31</v>
      </c>
      <c r="I34" s="172">
        <f>I319</f>
        <v>1</v>
      </c>
      <c r="J34" s="534"/>
      <c r="K34" s="451"/>
    </row>
    <row r="35" spans="1:20" ht="12" customHeight="1" x14ac:dyDescent="0.25">
      <c r="A35" s="449"/>
      <c r="B35" s="506"/>
      <c r="C35" s="172" t="s">
        <v>32</v>
      </c>
      <c r="D35" s="15">
        <f t="shared" ref="D35:E37" si="9">D320</f>
        <v>0</v>
      </c>
      <c r="E35" s="15">
        <f t="shared" si="9"/>
        <v>0</v>
      </c>
      <c r="F35" s="595">
        <v>0</v>
      </c>
      <c r="G35" s="457"/>
      <c r="H35" s="174" t="s">
        <v>33</v>
      </c>
      <c r="I35" s="236">
        <f t="shared" ref="I35:I36" si="10">I320</f>
        <v>0</v>
      </c>
      <c r="J35" s="534"/>
      <c r="K35" s="451"/>
    </row>
    <row r="36" spans="1:20" ht="12" customHeight="1" x14ac:dyDescent="0.25">
      <c r="A36" s="449"/>
      <c r="B36" s="506"/>
      <c r="C36" s="172" t="s">
        <v>34</v>
      </c>
      <c r="D36" s="15">
        <f t="shared" si="9"/>
        <v>0</v>
      </c>
      <c r="E36" s="15">
        <f t="shared" si="9"/>
        <v>0</v>
      </c>
      <c r="F36" s="595">
        <v>0</v>
      </c>
      <c r="G36" s="457"/>
      <c r="H36" s="174" t="s">
        <v>35</v>
      </c>
      <c r="I36" s="236">
        <f t="shared" si="10"/>
        <v>0</v>
      </c>
      <c r="J36" s="534"/>
      <c r="K36" s="451"/>
    </row>
    <row r="37" spans="1:20" ht="12" customHeight="1" x14ac:dyDescent="0.25">
      <c r="A37" s="449"/>
      <c r="B37" s="506"/>
      <c r="C37" s="172" t="s">
        <v>36</v>
      </c>
      <c r="D37" s="15">
        <f t="shared" si="9"/>
        <v>40801</v>
      </c>
      <c r="E37" s="15">
        <f t="shared" si="9"/>
        <v>40801</v>
      </c>
      <c r="F37" s="595">
        <f t="shared" si="0"/>
        <v>1</v>
      </c>
      <c r="G37" s="457"/>
      <c r="H37" s="174" t="s">
        <v>37</v>
      </c>
      <c r="I37" s="628">
        <f>(I34+0.5*I35)/I33*100%</f>
        <v>1</v>
      </c>
      <c r="J37" s="534"/>
      <c r="K37" s="451"/>
    </row>
    <row r="38" spans="1:20" ht="12" customHeight="1" x14ac:dyDescent="0.25">
      <c r="A38" s="507" t="s">
        <v>42</v>
      </c>
      <c r="B38" s="508" t="s">
        <v>43</v>
      </c>
      <c r="C38" s="176" t="s">
        <v>28</v>
      </c>
      <c r="D38" s="25">
        <f>D39+D40+D41+D42</f>
        <v>841266959.07000005</v>
      </c>
      <c r="E38" s="315">
        <f>E39+E40+E41+E42</f>
        <v>837970284.81000006</v>
      </c>
      <c r="F38" s="597">
        <f>E38/D38</f>
        <v>0.99608129830316361</v>
      </c>
      <c r="G38" s="509"/>
      <c r="H38" s="350" t="s">
        <v>39</v>
      </c>
      <c r="I38" s="351">
        <f>SUM(I39:I41)</f>
        <v>2</v>
      </c>
      <c r="J38" s="510" t="s">
        <v>877</v>
      </c>
      <c r="K38" s="510"/>
    </row>
    <row r="39" spans="1:20" ht="12" customHeight="1" x14ac:dyDescent="0.25">
      <c r="A39" s="507"/>
      <c r="B39" s="508"/>
      <c r="C39" s="176" t="s">
        <v>30</v>
      </c>
      <c r="D39" s="25">
        <f>D44+D74</f>
        <v>263698860.93000001</v>
      </c>
      <c r="E39" s="315">
        <f>E44+E74</f>
        <v>263694838.93000004</v>
      </c>
      <c r="F39" s="597">
        <f t="shared" ref="F39:F42" si="11">E39/D39</f>
        <v>0.99998474775360879</v>
      </c>
      <c r="G39" s="509"/>
      <c r="H39" s="175" t="s">
        <v>31</v>
      </c>
      <c r="I39" s="176">
        <f>I44+I74</f>
        <v>2</v>
      </c>
      <c r="J39" s="510"/>
      <c r="K39" s="510"/>
      <c r="P39" s="7"/>
    </row>
    <row r="40" spans="1:20" ht="12" customHeight="1" x14ac:dyDescent="0.25">
      <c r="A40" s="507"/>
      <c r="B40" s="508"/>
      <c r="C40" s="176" t="s">
        <v>32</v>
      </c>
      <c r="D40" s="25">
        <f t="shared" ref="D40:E42" si="12">D45+D75</f>
        <v>517214190.56</v>
      </c>
      <c r="E40" s="315">
        <f>E45+E75</f>
        <v>513981809.30000001</v>
      </c>
      <c r="F40" s="597">
        <f t="shared" si="11"/>
        <v>0.99375040105434809</v>
      </c>
      <c r="G40" s="509"/>
      <c r="H40" s="175" t="s">
        <v>33</v>
      </c>
      <c r="I40" s="243">
        <f t="shared" ref="I40:I41" si="13">I45+I75</f>
        <v>0</v>
      </c>
      <c r="J40" s="510"/>
      <c r="K40" s="510"/>
      <c r="P40" s="7"/>
    </row>
    <row r="41" spans="1:20" ht="12" customHeight="1" x14ac:dyDescent="0.25">
      <c r="A41" s="507"/>
      <c r="B41" s="508"/>
      <c r="C41" s="176" t="s">
        <v>34</v>
      </c>
      <c r="D41" s="25">
        <f t="shared" si="12"/>
        <v>0</v>
      </c>
      <c r="E41" s="315">
        <f t="shared" si="12"/>
        <v>0</v>
      </c>
      <c r="F41" s="597">
        <v>0</v>
      </c>
      <c r="G41" s="509"/>
      <c r="H41" s="175" t="s">
        <v>35</v>
      </c>
      <c r="I41" s="243">
        <f t="shared" si="13"/>
        <v>0</v>
      </c>
      <c r="J41" s="510"/>
      <c r="K41" s="510"/>
    </row>
    <row r="42" spans="1:20" ht="12" customHeight="1" x14ac:dyDescent="0.25">
      <c r="A42" s="507"/>
      <c r="B42" s="508"/>
      <c r="C42" s="176" t="s">
        <v>36</v>
      </c>
      <c r="D42" s="25">
        <f t="shared" si="12"/>
        <v>60353907.579999998</v>
      </c>
      <c r="E42" s="315">
        <f t="shared" si="12"/>
        <v>60293636.579999991</v>
      </c>
      <c r="F42" s="597">
        <f t="shared" si="11"/>
        <v>0.99900137369034281</v>
      </c>
      <c r="G42" s="509"/>
      <c r="H42" s="175" t="s">
        <v>37</v>
      </c>
      <c r="I42" s="629">
        <f>(I34+0.5*I35)/I33*100%</f>
        <v>1</v>
      </c>
      <c r="J42" s="510"/>
      <c r="K42" s="510"/>
    </row>
    <row r="43" spans="1:20" s="22" customFormat="1" ht="12" customHeight="1" x14ac:dyDescent="0.25">
      <c r="A43" s="502" t="s">
        <v>44</v>
      </c>
      <c r="B43" s="503" t="s">
        <v>45</v>
      </c>
      <c r="C43" s="27" t="s">
        <v>28</v>
      </c>
      <c r="D43" s="28">
        <f>D44+D45+D46+D47</f>
        <v>837973603.56000006</v>
      </c>
      <c r="E43" s="314">
        <f>E44+E45+E46+E47</f>
        <v>834680951.30000007</v>
      </c>
      <c r="F43" s="598">
        <f>E43/D43</f>
        <v>0.99607069692170291</v>
      </c>
      <c r="G43" s="504"/>
      <c r="H43" s="29" t="s">
        <v>39</v>
      </c>
      <c r="I43" s="27">
        <f>SUM(I44:I46)</f>
        <v>1</v>
      </c>
      <c r="J43" s="505" t="s">
        <v>877</v>
      </c>
      <c r="K43" s="505"/>
      <c r="L43" s="45"/>
      <c r="M43" s="12"/>
      <c r="N43" s="45"/>
      <c r="O43" s="45"/>
      <c r="P43" s="20"/>
      <c r="Q43" s="21"/>
      <c r="R43" s="21"/>
      <c r="S43" s="21"/>
      <c r="T43" s="21"/>
    </row>
    <row r="44" spans="1:20" ht="12" customHeight="1" x14ac:dyDescent="0.25">
      <c r="A44" s="502"/>
      <c r="B44" s="503"/>
      <c r="C44" s="177" t="s">
        <v>30</v>
      </c>
      <c r="D44" s="31">
        <f>D49+D54+D59+D64+D69</f>
        <v>261996838.93000001</v>
      </c>
      <c r="E44" s="245">
        <f>E49+E54+E59+E64+E69</f>
        <v>261996838.93000004</v>
      </c>
      <c r="F44" s="599">
        <f t="shared" ref="F44:F70" si="14">E44/D44</f>
        <v>1.0000000000000002</v>
      </c>
      <c r="G44" s="504"/>
      <c r="H44" s="32" t="s">
        <v>31</v>
      </c>
      <c r="I44" s="177">
        <v>1</v>
      </c>
      <c r="J44" s="505"/>
      <c r="K44" s="505"/>
    </row>
    <row r="45" spans="1:20" ht="12" customHeight="1" x14ac:dyDescent="0.25">
      <c r="A45" s="502"/>
      <c r="B45" s="503"/>
      <c r="C45" s="177" t="s">
        <v>32</v>
      </c>
      <c r="D45" s="31">
        <f t="shared" ref="D45:E47" si="15">D50+D55+D60+D65+D70</f>
        <v>515622857.05000001</v>
      </c>
      <c r="E45" s="245">
        <f>E50+E55+E60+E65+E70</f>
        <v>512390475.79000002</v>
      </c>
      <c r="F45" s="599">
        <f t="shared" si="14"/>
        <v>0.99373111332090047</v>
      </c>
      <c r="G45" s="504"/>
      <c r="H45" s="32" t="s">
        <v>33</v>
      </c>
      <c r="I45" s="177">
        <v>0</v>
      </c>
      <c r="J45" s="505"/>
      <c r="K45" s="505"/>
    </row>
    <row r="46" spans="1:20" ht="12" customHeight="1" x14ac:dyDescent="0.25">
      <c r="A46" s="502"/>
      <c r="B46" s="503"/>
      <c r="C46" s="177" t="s">
        <v>34</v>
      </c>
      <c r="D46" s="31">
        <f t="shared" si="15"/>
        <v>0</v>
      </c>
      <c r="E46" s="245">
        <f t="shared" si="15"/>
        <v>0</v>
      </c>
      <c r="F46" s="599">
        <v>0</v>
      </c>
      <c r="G46" s="504"/>
      <c r="H46" s="32" t="s">
        <v>35</v>
      </c>
      <c r="I46" s="177">
        <v>0</v>
      </c>
      <c r="J46" s="505"/>
      <c r="K46" s="505"/>
    </row>
    <row r="47" spans="1:20" ht="12" customHeight="1" x14ac:dyDescent="0.25">
      <c r="A47" s="502"/>
      <c r="B47" s="503"/>
      <c r="C47" s="177" t="s">
        <v>36</v>
      </c>
      <c r="D47" s="31">
        <f t="shared" si="15"/>
        <v>60353907.579999998</v>
      </c>
      <c r="E47" s="245">
        <f t="shared" si="15"/>
        <v>60293636.579999991</v>
      </c>
      <c r="F47" s="599">
        <f t="shared" si="14"/>
        <v>0.99900137369034281</v>
      </c>
      <c r="G47" s="504"/>
      <c r="H47" s="32" t="s">
        <v>37</v>
      </c>
      <c r="I47" s="630">
        <f>(I34+0.5*I35)/I33*100%</f>
        <v>1</v>
      </c>
      <c r="J47" s="505"/>
      <c r="K47" s="505"/>
    </row>
    <row r="48" spans="1:20" s="22" customFormat="1" ht="12" customHeight="1" x14ac:dyDescent="0.25">
      <c r="A48" s="449" t="s">
        <v>46</v>
      </c>
      <c r="B48" s="450" t="s">
        <v>47</v>
      </c>
      <c r="C48" s="17" t="s">
        <v>28</v>
      </c>
      <c r="D48" s="18">
        <f>D49+D50+D51+D52</f>
        <v>483886690</v>
      </c>
      <c r="E48" s="78">
        <f>E49+E50+E51+E52</f>
        <v>483886690</v>
      </c>
      <c r="F48" s="596">
        <f t="shared" si="14"/>
        <v>1</v>
      </c>
      <c r="G48" s="450" t="s">
        <v>48</v>
      </c>
      <c r="H48" s="450" t="s">
        <v>49</v>
      </c>
      <c r="I48" s="449" t="s">
        <v>882</v>
      </c>
      <c r="J48" s="451"/>
      <c r="K48" s="451"/>
      <c r="L48" s="45"/>
      <c r="M48" s="45"/>
      <c r="N48" s="45"/>
      <c r="O48" s="45"/>
      <c r="P48" s="20"/>
      <c r="Q48" s="21"/>
      <c r="R48" s="21"/>
      <c r="S48" s="21"/>
      <c r="T48" s="21"/>
    </row>
    <row r="49" spans="1:20" ht="12" customHeight="1" x14ac:dyDescent="0.25">
      <c r="A49" s="449"/>
      <c r="B49" s="450"/>
      <c r="C49" s="172" t="s">
        <v>30</v>
      </c>
      <c r="D49" s="15">
        <f>'[6]табл.8 уточнение 2021 04.02. '!$H$25</f>
        <v>0</v>
      </c>
      <c r="E49" s="80">
        <v>0</v>
      </c>
      <c r="F49" s="595">
        <v>0</v>
      </c>
      <c r="G49" s="450"/>
      <c r="H49" s="450"/>
      <c r="I49" s="449"/>
      <c r="J49" s="451"/>
      <c r="K49" s="451"/>
    </row>
    <row r="50" spans="1:20" ht="12" customHeight="1" x14ac:dyDescent="0.25">
      <c r="A50" s="449"/>
      <c r="B50" s="450"/>
      <c r="C50" s="172" t="s">
        <v>32</v>
      </c>
      <c r="D50" s="15">
        <f>'[6]табл.8 уточнение 2021 04.02. '!$F$25</f>
        <v>483886690</v>
      </c>
      <c r="E50" s="132">
        <f>'31 12 2021'!M17+'31 12 2021'!M18+'31 12 2021'!M86+'31 12 2021'!M87</f>
        <v>483886690</v>
      </c>
      <c r="F50" s="595">
        <f t="shared" si="14"/>
        <v>1</v>
      </c>
      <c r="G50" s="450"/>
      <c r="H50" s="450"/>
      <c r="I50" s="449"/>
      <c r="J50" s="451"/>
      <c r="K50" s="451"/>
    </row>
    <row r="51" spans="1:20" ht="12" customHeight="1" x14ac:dyDescent="0.25">
      <c r="A51" s="449"/>
      <c r="B51" s="450"/>
      <c r="C51" s="172" t="s">
        <v>34</v>
      </c>
      <c r="D51" s="15">
        <f>'[6]табл.8 уточнение 2021 04.02. '!$G$25</f>
        <v>0</v>
      </c>
      <c r="E51" s="80">
        <v>0</v>
      </c>
      <c r="F51" s="595">
        <v>0</v>
      </c>
      <c r="G51" s="450"/>
      <c r="H51" s="450"/>
      <c r="I51" s="449"/>
      <c r="J51" s="451"/>
      <c r="K51" s="451"/>
    </row>
    <row r="52" spans="1:20" ht="12" customHeight="1" x14ac:dyDescent="0.25">
      <c r="A52" s="449"/>
      <c r="B52" s="450"/>
      <c r="C52" s="172" t="s">
        <v>36</v>
      </c>
      <c r="D52" s="15">
        <f>'[6]табл.8 уточнение 2021 04.02. '!$I$25</f>
        <v>0</v>
      </c>
      <c r="E52" s="80">
        <v>0</v>
      </c>
      <c r="F52" s="595">
        <v>0</v>
      </c>
      <c r="G52" s="450"/>
      <c r="H52" s="450"/>
      <c r="I52" s="449"/>
      <c r="J52" s="451"/>
      <c r="K52" s="451"/>
    </row>
    <row r="53" spans="1:20" s="22" customFormat="1" ht="12" customHeight="1" x14ac:dyDescent="0.25">
      <c r="A53" s="449" t="s">
        <v>51</v>
      </c>
      <c r="B53" s="450" t="s">
        <v>52</v>
      </c>
      <c r="C53" s="17" t="s">
        <v>28</v>
      </c>
      <c r="D53" s="18">
        <f>D54+D55+D56+D57</f>
        <v>314797053.26999998</v>
      </c>
      <c r="E53" s="78">
        <f>E54+E55+E56+E57</f>
        <v>314736782.27000004</v>
      </c>
      <c r="F53" s="596">
        <f t="shared" si="14"/>
        <v>0.99980854013919807</v>
      </c>
      <c r="G53" s="450" t="s">
        <v>48</v>
      </c>
      <c r="H53" s="450" t="s">
        <v>49</v>
      </c>
      <c r="I53" s="449" t="s">
        <v>882</v>
      </c>
      <c r="J53" s="451"/>
      <c r="K53" s="451"/>
      <c r="L53" s="45"/>
      <c r="M53" s="45"/>
      <c r="N53" s="45"/>
      <c r="O53" s="45"/>
      <c r="P53" s="20"/>
      <c r="Q53" s="21"/>
      <c r="R53" s="21"/>
      <c r="S53" s="21"/>
      <c r="T53" s="21"/>
    </row>
    <row r="54" spans="1:20" ht="12" customHeight="1" x14ac:dyDescent="0.25">
      <c r="A54" s="449"/>
      <c r="B54" s="450"/>
      <c r="C54" s="172" t="s">
        <v>30</v>
      </c>
      <c r="D54" s="15">
        <f>'[6]табл.8 уточнение 2021 04.02. '!$H$31</f>
        <v>254443145.69</v>
      </c>
      <c r="E54" s="132">
        <f>'31 12 2021'!M9+'31 12 2021'!M10+'31 12 2021'!M11+'31 12 2021'!M12+'31 12 2021'!M13+'31 12 2021'!M14+'31 12 2021'!M84+'31 12 2021'!M85</f>
        <v>254443145.69000003</v>
      </c>
      <c r="F54" s="595">
        <f t="shared" si="14"/>
        <v>1.0000000000000002</v>
      </c>
      <c r="G54" s="450"/>
      <c r="H54" s="450"/>
      <c r="I54" s="449"/>
      <c r="J54" s="451"/>
      <c r="K54" s="451"/>
    </row>
    <row r="55" spans="1:20" ht="12" customHeight="1" x14ac:dyDescent="0.25">
      <c r="A55" s="449"/>
      <c r="B55" s="450"/>
      <c r="C55" s="172" t="s">
        <v>32</v>
      </c>
      <c r="D55" s="15">
        <v>0</v>
      </c>
      <c r="E55" s="80">
        <v>0</v>
      </c>
      <c r="F55" s="595">
        <v>0</v>
      </c>
      <c r="G55" s="450"/>
      <c r="H55" s="450"/>
      <c r="I55" s="449"/>
      <c r="J55" s="451"/>
      <c r="K55" s="451"/>
    </row>
    <row r="56" spans="1:20" ht="12" customHeight="1" x14ac:dyDescent="0.25">
      <c r="A56" s="449"/>
      <c r="B56" s="450"/>
      <c r="C56" s="172" t="s">
        <v>34</v>
      </c>
      <c r="D56" s="15">
        <v>0</v>
      </c>
      <c r="E56" s="80">
        <v>0</v>
      </c>
      <c r="F56" s="595">
        <v>0</v>
      </c>
      <c r="G56" s="450"/>
      <c r="H56" s="450"/>
      <c r="I56" s="449"/>
      <c r="J56" s="451"/>
      <c r="K56" s="451"/>
    </row>
    <row r="57" spans="1:20" ht="12" customHeight="1" x14ac:dyDescent="0.25">
      <c r="A57" s="449"/>
      <c r="B57" s="450"/>
      <c r="C57" s="172" t="s">
        <v>36</v>
      </c>
      <c r="D57" s="15">
        <f>'[6]табл.8 уточнение 2021 04.02. '!$I$31</f>
        <v>60353907.579999998</v>
      </c>
      <c r="E57" s="132">
        <f>'[7]МП Образование ВБС 01.01.2021'!$E$13</f>
        <v>60293636.579999991</v>
      </c>
      <c r="F57" s="595">
        <f t="shared" si="14"/>
        <v>0.99900137369034281</v>
      </c>
      <c r="G57" s="450"/>
      <c r="H57" s="450"/>
      <c r="I57" s="449"/>
      <c r="J57" s="451"/>
      <c r="K57" s="451"/>
    </row>
    <row r="58" spans="1:20" s="22" customFormat="1" ht="12" customHeight="1" x14ac:dyDescent="0.25">
      <c r="A58" s="449" t="s">
        <v>53</v>
      </c>
      <c r="B58" s="450" t="s">
        <v>54</v>
      </c>
      <c r="C58" s="17" t="s">
        <v>28</v>
      </c>
      <c r="D58" s="18">
        <f>D59+D60+D61+D62</f>
        <v>434900</v>
      </c>
      <c r="E58" s="78">
        <f>E59+E60+E61+E62</f>
        <v>327606.38</v>
      </c>
      <c r="F58" s="596">
        <f t="shared" si="14"/>
        <v>0.75329128535295475</v>
      </c>
      <c r="G58" s="450" t="s">
        <v>48</v>
      </c>
      <c r="H58" s="450" t="s">
        <v>49</v>
      </c>
      <c r="I58" s="449" t="s">
        <v>882</v>
      </c>
      <c r="J58" s="451" t="s">
        <v>894</v>
      </c>
      <c r="K58" s="451"/>
      <c r="L58" s="45"/>
      <c r="M58" s="45"/>
      <c r="N58" s="45"/>
      <c r="O58" s="45"/>
      <c r="P58" s="20"/>
      <c r="Q58" s="21"/>
      <c r="R58" s="21"/>
      <c r="S58" s="21"/>
      <c r="T58" s="21"/>
    </row>
    <row r="59" spans="1:20" ht="12" customHeight="1" x14ac:dyDescent="0.25">
      <c r="A59" s="449"/>
      <c r="B59" s="450"/>
      <c r="C59" s="172" t="s">
        <v>30</v>
      </c>
      <c r="D59" s="15">
        <f>'[3]табл.8 11.10.21'!H37</f>
        <v>0</v>
      </c>
      <c r="E59" s="80"/>
      <c r="F59" s="595">
        <v>0</v>
      </c>
      <c r="G59" s="450"/>
      <c r="H59" s="450"/>
      <c r="I59" s="449"/>
      <c r="J59" s="451"/>
      <c r="K59" s="451"/>
    </row>
    <row r="60" spans="1:20" ht="12" customHeight="1" x14ac:dyDescent="0.25">
      <c r="A60" s="449"/>
      <c r="B60" s="450"/>
      <c r="C60" s="172" t="s">
        <v>32</v>
      </c>
      <c r="D60" s="15">
        <f>'[6]табл.8 уточнение 2021 04.02. '!$F$37</f>
        <v>434900</v>
      </c>
      <c r="E60" s="132">
        <f>'31 12 2021'!M126+'31 12 2021'!M127+'31 12 2021'!M128</f>
        <v>327606.38</v>
      </c>
      <c r="F60" s="595">
        <f t="shared" si="14"/>
        <v>0.75329128535295475</v>
      </c>
      <c r="G60" s="450"/>
      <c r="H60" s="450"/>
      <c r="I60" s="449"/>
      <c r="J60" s="451"/>
      <c r="K60" s="451"/>
    </row>
    <row r="61" spans="1:20" ht="12" customHeight="1" x14ac:dyDescent="0.25">
      <c r="A61" s="449"/>
      <c r="B61" s="450"/>
      <c r="C61" s="172" t="s">
        <v>34</v>
      </c>
      <c r="D61" s="15">
        <f>'[3]табл.8 11.10.21'!G37</f>
        <v>0</v>
      </c>
      <c r="E61" s="80"/>
      <c r="F61" s="595">
        <v>0</v>
      </c>
      <c r="G61" s="450"/>
      <c r="H61" s="450"/>
      <c r="I61" s="449"/>
      <c r="J61" s="451"/>
      <c r="K61" s="451"/>
    </row>
    <row r="62" spans="1:20" ht="12" customHeight="1" x14ac:dyDescent="0.25">
      <c r="A62" s="449"/>
      <c r="B62" s="450"/>
      <c r="C62" s="172" t="s">
        <v>36</v>
      </c>
      <c r="D62" s="15">
        <f>'[3]табл.8 11.10.21'!I37</f>
        <v>0</v>
      </c>
      <c r="E62" s="80"/>
      <c r="F62" s="595">
        <v>0</v>
      </c>
      <c r="G62" s="450"/>
      <c r="H62" s="450"/>
      <c r="I62" s="449"/>
      <c r="J62" s="451"/>
      <c r="K62" s="451"/>
    </row>
    <row r="63" spans="1:20" s="22" customFormat="1" ht="12" customHeight="1" x14ac:dyDescent="0.25">
      <c r="A63" s="449" t="s">
        <v>55</v>
      </c>
      <c r="B63" s="450" t="s">
        <v>56</v>
      </c>
      <c r="C63" s="17" t="s">
        <v>28</v>
      </c>
      <c r="D63" s="18">
        <f>D64+D65+D66+D67</f>
        <v>17394600</v>
      </c>
      <c r="E63" s="78">
        <f>E64+E65+E66+E67</f>
        <v>14269512.359999999</v>
      </c>
      <c r="F63" s="596">
        <f t="shared" si="14"/>
        <v>0.82034150598461586</v>
      </c>
      <c r="G63" s="450" t="s">
        <v>48</v>
      </c>
      <c r="H63" s="450" t="s">
        <v>49</v>
      </c>
      <c r="I63" s="449" t="s">
        <v>882</v>
      </c>
      <c r="J63" s="451" t="s">
        <v>893</v>
      </c>
      <c r="K63" s="451"/>
      <c r="L63" s="45"/>
      <c r="M63" s="45"/>
      <c r="N63" s="45"/>
      <c r="O63" s="45"/>
      <c r="P63" s="20"/>
      <c r="Q63" s="21"/>
      <c r="R63" s="21"/>
      <c r="S63" s="21"/>
      <c r="T63" s="21"/>
    </row>
    <row r="64" spans="1:20" ht="12" customHeight="1" x14ac:dyDescent="0.25">
      <c r="A64" s="449"/>
      <c r="B64" s="450"/>
      <c r="C64" s="172" t="s">
        <v>30</v>
      </c>
      <c r="D64" s="15">
        <f>'[3]табл.8 11.10.21'!H43</f>
        <v>0</v>
      </c>
      <c r="E64" s="80"/>
      <c r="F64" s="595">
        <v>0</v>
      </c>
      <c r="G64" s="450"/>
      <c r="H64" s="450"/>
      <c r="I64" s="449"/>
      <c r="J64" s="451"/>
      <c r="K64" s="451"/>
    </row>
    <row r="65" spans="1:20" ht="12" customHeight="1" x14ac:dyDescent="0.25">
      <c r="A65" s="449"/>
      <c r="B65" s="450"/>
      <c r="C65" s="172" t="s">
        <v>32</v>
      </c>
      <c r="D65" s="15">
        <f>'[6]табл.8 уточнение 2021 04.02. '!$F$43</f>
        <v>17394600</v>
      </c>
      <c r="E65" s="132">
        <f>'31 12 2021'!M129</f>
        <v>14269512.359999999</v>
      </c>
      <c r="F65" s="595">
        <f t="shared" si="14"/>
        <v>0.82034150598461586</v>
      </c>
      <c r="G65" s="450"/>
      <c r="H65" s="450"/>
      <c r="I65" s="449"/>
      <c r="J65" s="451"/>
      <c r="K65" s="451"/>
    </row>
    <row r="66" spans="1:20" ht="12" customHeight="1" x14ac:dyDescent="0.25">
      <c r="A66" s="449"/>
      <c r="B66" s="450"/>
      <c r="C66" s="172" t="s">
        <v>34</v>
      </c>
      <c r="D66" s="15">
        <f>'[3]табл.8 11.10.21'!G43</f>
        <v>0</v>
      </c>
      <c r="E66" s="80"/>
      <c r="F66" s="595">
        <v>0</v>
      </c>
      <c r="G66" s="450"/>
      <c r="H66" s="450"/>
      <c r="I66" s="449"/>
      <c r="J66" s="451"/>
      <c r="K66" s="451"/>
    </row>
    <row r="67" spans="1:20" ht="12" customHeight="1" x14ac:dyDescent="0.25">
      <c r="A67" s="449"/>
      <c r="B67" s="450"/>
      <c r="C67" s="172" t="s">
        <v>36</v>
      </c>
      <c r="D67" s="15">
        <f>'[3]табл.8 11.10.21'!I43</f>
        <v>0</v>
      </c>
      <c r="E67" s="80"/>
      <c r="F67" s="595">
        <v>0</v>
      </c>
      <c r="G67" s="450"/>
      <c r="H67" s="450"/>
      <c r="I67" s="449"/>
      <c r="J67" s="451"/>
      <c r="K67" s="451"/>
    </row>
    <row r="68" spans="1:20" s="22" customFormat="1" ht="15" customHeight="1" x14ac:dyDescent="0.25">
      <c r="A68" s="449" t="s">
        <v>57</v>
      </c>
      <c r="B68" s="450" t="s">
        <v>58</v>
      </c>
      <c r="C68" s="17" t="s">
        <v>28</v>
      </c>
      <c r="D68" s="18">
        <f>D69+D70+D71+D72</f>
        <v>21460360.289999999</v>
      </c>
      <c r="E68" s="78">
        <f>E69+E70+E71+E72</f>
        <v>21460360.289999999</v>
      </c>
      <c r="F68" s="596">
        <f t="shared" si="14"/>
        <v>1</v>
      </c>
      <c r="G68" s="450" t="s">
        <v>48</v>
      </c>
      <c r="H68" s="450" t="s">
        <v>49</v>
      </c>
      <c r="I68" s="449" t="s">
        <v>882</v>
      </c>
      <c r="J68" s="451"/>
      <c r="K68" s="451"/>
      <c r="L68" s="45"/>
      <c r="M68" s="45"/>
      <c r="N68" s="45"/>
      <c r="O68" s="45"/>
      <c r="P68" s="20"/>
      <c r="Q68" s="21"/>
      <c r="R68" s="21"/>
      <c r="S68" s="21"/>
      <c r="T68" s="21"/>
    </row>
    <row r="69" spans="1:20" ht="15" customHeight="1" x14ac:dyDescent="0.25">
      <c r="A69" s="449"/>
      <c r="B69" s="450"/>
      <c r="C69" s="172" t="s">
        <v>30</v>
      </c>
      <c r="D69" s="15">
        <f>'[6]табл.8 уточнение 2021 04.02. '!$H$49</f>
        <v>7553693.2400000002</v>
      </c>
      <c r="E69" s="132">
        <f>'31 12 2021'!M19+'31 12 2021'!M20+'31 12 2021'!M21+'31 12 2021'!M22</f>
        <v>7553693.2400000002</v>
      </c>
      <c r="F69" s="595">
        <f t="shared" si="14"/>
        <v>1</v>
      </c>
      <c r="G69" s="450"/>
      <c r="H69" s="450"/>
      <c r="I69" s="449"/>
      <c r="J69" s="451"/>
      <c r="K69" s="451"/>
    </row>
    <row r="70" spans="1:20" ht="15" customHeight="1" x14ac:dyDescent="0.25">
      <c r="A70" s="449"/>
      <c r="B70" s="450"/>
      <c r="C70" s="172" t="s">
        <v>32</v>
      </c>
      <c r="D70" s="15">
        <f>'[6]табл.8 уточнение 2021 04.02. '!$F$49</f>
        <v>13906667.050000001</v>
      </c>
      <c r="E70" s="132">
        <f>'31 12 2021'!M15+'31 12 2021'!M16</f>
        <v>13906667.049999999</v>
      </c>
      <c r="F70" s="595">
        <f t="shared" si="14"/>
        <v>0.99999999999999989</v>
      </c>
      <c r="G70" s="450"/>
      <c r="H70" s="450"/>
      <c r="I70" s="449"/>
      <c r="J70" s="451"/>
      <c r="K70" s="451"/>
    </row>
    <row r="71" spans="1:20" ht="15" customHeight="1" x14ac:dyDescent="0.25">
      <c r="A71" s="449"/>
      <c r="B71" s="450"/>
      <c r="C71" s="172" t="s">
        <v>34</v>
      </c>
      <c r="D71" s="15">
        <f>'[3]табл.8 11.10.21'!G49</f>
        <v>0</v>
      </c>
      <c r="E71" s="80">
        <v>0</v>
      </c>
      <c r="F71" s="595">
        <v>0</v>
      </c>
      <c r="G71" s="450"/>
      <c r="H71" s="450"/>
      <c r="I71" s="449"/>
      <c r="J71" s="451"/>
      <c r="K71" s="451"/>
    </row>
    <row r="72" spans="1:20" ht="15" customHeight="1" x14ac:dyDescent="0.25">
      <c r="A72" s="449"/>
      <c r="B72" s="450"/>
      <c r="C72" s="172" t="s">
        <v>36</v>
      </c>
      <c r="D72" s="15">
        <f>'[3]табл.8 11.10.21'!I49</f>
        <v>0</v>
      </c>
      <c r="E72" s="80">
        <v>0</v>
      </c>
      <c r="F72" s="595">
        <v>0</v>
      </c>
      <c r="G72" s="450"/>
      <c r="H72" s="450"/>
      <c r="I72" s="449"/>
      <c r="J72" s="451"/>
      <c r="K72" s="451"/>
    </row>
    <row r="73" spans="1:20" s="22" customFormat="1" ht="12" customHeight="1" x14ac:dyDescent="0.25">
      <c r="A73" s="502" t="s">
        <v>59</v>
      </c>
      <c r="B73" s="503" t="s">
        <v>60</v>
      </c>
      <c r="C73" s="27" t="s">
        <v>28</v>
      </c>
      <c r="D73" s="28">
        <f>D74+D75+D76+D77</f>
        <v>3293355.51</v>
      </c>
      <c r="E73" s="314">
        <f>E74+E75+E76+E77</f>
        <v>3289333.51</v>
      </c>
      <c r="F73" s="598">
        <f>E73/D73</f>
        <v>0.99877875316291009</v>
      </c>
      <c r="G73" s="504"/>
      <c r="H73" s="29" t="s">
        <v>39</v>
      </c>
      <c r="I73" s="27">
        <f>SUM(I74:I76)</f>
        <v>1</v>
      </c>
      <c r="J73" s="505" t="s">
        <v>877</v>
      </c>
      <c r="K73" s="505"/>
      <c r="L73" s="45"/>
      <c r="M73" s="45"/>
      <c r="N73" s="45"/>
      <c r="O73" s="45"/>
      <c r="P73" s="20"/>
      <c r="Q73" s="21"/>
      <c r="R73" s="21"/>
      <c r="S73" s="21"/>
      <c r="T73" s="21"/>
    </row>
    <row r="74" spans="1:20" ht="12" customHeight="1" x14ac:dyDescent="0.25">
      <c r="A74" s="502"/>
      <c r="B74" s="503"/>
      <c r="C74" s="177" t="s">
        <v>30</v>
      </c>
      <c r="D74" s="31">
        <f t="shared" ref="D74:E77" si="16">D79+D84+D89+D369+D374</f>
        <v>1702022</v>
      </c>
      <c r="E74" s="245">
        <f t="shared" si="16"/>
        <v>1698000</v>
      </c>
      <c r="F74" s="599">
        <f t="shared" ref="F74:F84" si="17">E74/D74</f>
        <v>0.99763692831232498</v>
      </c>
      <c r="G74" s="504"/>
      <c r="H74" s="32" t="s">
        <v>31</v>
      </c>
      <c r="I74" s="177">
        <v>1</v>
      </c>
      <c r="J74" s="505"/>
      <c r="K74" s="505"/>
    </row>
    <row r="75" spans="1:20" ht="12" customHeight="1" x14ac:dyDescent="0.25">
      <c r="A75" s="502"/>
      <c r="B75" s="503"/>
      <c r="C75" s="177" t="s">
        <v>32</v>
      </c>
      <c r="D75" s="31">
        <f t="shared" si="16"/>
        <v>1591333.51</v>
      </c>
      <c r="E75" s="245">
        <f>E80+E85+E90</f>
        <v>1591333.51</v>
      </c>
      <c r="F75" s="599">
        <f>E75/D75</f>
        <v>1</v>
      </c>
      <c r="G75" s="504"/>
      <c r="H75" s="32" t="s">
        <v>33</v>
      </c>
      <c r="I75" s="177">
        <v>0</v>
      </c>
      <c r="J75" s="505"/>
      <c r="K75" s="505"/>
    </row>
    <row r="76" spans="1:20" ht="12" customHeight="1" x14ac:dyDescent="0.25">
      <c r="A76" s="502"/>
      <c r="B76" s="503"/>
      <c r="C76" s="177" t="s">
        <v>34</v>
      </c>
      <c r="D76" s="31">
        <f t="shared" si="16"/>
        <v>0</v>
      </c>
      <c r="E76" s="245">
        <f t="shared" si="16"/>
        <v>0</v>
      </c>
      <c r="F76" s="599">
        <v>0</v>
      </c>
      <c r="G76" s="504"/>
      <c r="H76" s="32" t="s">
        <v>35</v>
      </c>
      <c r="I76" s="177">
        <v>0</v>
      </c>
      <c r="J76" s="505"/>
      <c r="K76" s="505"/>
    </row>
    <row r="77" spans="1:20" ht="12" customHeight="1" x14ac:dyDescent="0.25">
      <c r="A77" s="502"/>
      <c r="B77" s="503"/>
      <c r="C77" s="177" t="s">
        <v>36</v>
      </c>
      <c r="D77" s="31">
        <f t="shared" si="16"/>
        <v>0</v>
      </c>
      <c r="E77" s="245">
        <f t="shared" si="16"/>
        <v>0</v>
      </c>
      <c r="F77" s="599">
        <v>0</v>
      </c>
      <c r="G77" s="504"/>
      <c r="H77" s="32" t="s">
        <v>37</v>
      </c>
      <c r="I77" s="630">
        <f>(I34+0.5*I35)/I33*100%</f>
        <v>1</v>
      </c>
      <c r="J77" s="505"/>
      <c r="K77" s="505"/>
    </row>
    <row r="78" spans="1:20" s="22" customFormat="1" ht="12" customHeight="1" x14ac:dyDescent="0.25">
      <c r="A78" s="449" t="s">
        <v>61</v>
      </c>
      <c r="B78" s="450" t="s">
        <v>62</v>
      </c>
      <c r="C78" s="17" t="s">
        <v>28</v>
      </c>
      <c r="D78" s="18">
        <f>D79+D80+D81+D82</f>
        <v>0</v>
      </c>
      <c r="E78" s="78">
        <f>E79+E80+E81+E82</f>
        <v>0</v>
      </c>
      <c r="F78" s="596">
        <v>0</v>
      </c>
      <c r="G78" s="450" t="s">
        <v>48</v>
      </c>
      <c r="H78" s="450" t="s">
        <v>49</v>
      </c>
      <c r="I78" s="449" t="s">
        <v>50</v>
      </c>
      <c r="J78" s="451"/>
      <c r="K78" s="451"/>
      <c r="L78" s="45"/>
      <c r="M78" s="45"/>
      <c r="N78" s="45"/>
      <c r="O78" s="45"/>
      <c r="P78" s="20"/>
      <c r="Q78" s="21"/>
      <c r="R78" s="21"/>
      <c r="S78" s="21"/>
      <c r="T78" s="21"/>
    </row>
    <row r="79" spans="1:20" ht="12" customHeight="1" x14ac:dyDescent="0.25">
      <c r="A79" s="449"/>
      <c r="B79" s="450"/>
      <c r="C79" s="172" t="s">
        <v>30</v>
      </c>
      <c r="D79" s="15">
        <f>'[3]табл.8 11.10.21'!H61</f>
        <v>0</v>
      </c>
      <c r="E79" s="80">
        <v>0</v>
      </c>
      <c r="F79" s="595">
        <v>0</v>
      </c>
      <c r="G79" s="450"/>
      <c r="H79" s="450"/>
      <c r="I79" s="449"/>
      <c r="J79" s="451"/>
      <c r="K79" s="451"/>
    </row>
    <row r="80" spans="1:20" ht="12" customHeight="1" x14ac:dyDescent="0.25">
      <c r="A80" s="449"/>
      <c r="B80" s="450"/>
      <c r="C80" s="172" t="s">
        <v>32</v>
      </c>
      <c r="D80" s="15">
        <f>'[3]табл.8 11.10.21'!F61</f>
        <v>0</v>
      </c>
      <c r="E80" s="80">
        <v>0</v>
      </c>
      <c r="F80" s="595">
        <v>0</v>
      </c>
      <c r="G80" s="450"/>
      <c r="H80" s="450"/>
      <c r="I80" s="449"/>
      <c r="J80" s="451"/>
      <c r="K80" s="451"/>
    </row>
    <row r="81" spans="1:20" ht="12" customHeight="1" x14ac:dyDescent="0.25">
      <c r="A81" s="449"/>
      <c r="B81" s="450"/>
      <c r="C81" s="172" t="s">
        <v>34</v>
      </c>
      <c r="D81" s="15">
        <f>'[3]табл.8 11.10.21'!G61</f>
        <v>0</v>
      </c>
      <c r="E81" s="80">
        <v>0</v>
      </c>
      <c r="F81" s="595">
        <v>0</v>
      </c>
      <c r="G81" s="450"/>
      <c r="H81" s="450"/>
      <c r="I81" s="449"/>
      <c r="J81" s="451"/>
      <c r="K81" s="451"/>
    </row>
    <row r="82" spans="1:20" ht="12" customHeight="1" x14ac:dyDescent="0.25">
      <c r="A82" s="449"/>
      <c r="B82" s="450"/>
      <c r="C82" s="172" t="s">
        <v>36</v>
      </c>
      <c r="D82" s="15">
        <f>'[3]табл.8 11.10.21'!I61</f>
        <v>0</v>
      </c>
      <c r="E82" s="80">
        <v>0</v>
      </c>
      <c r="F82" s="595">
        <v>0</v>
      </c>
      <c r="G82" s="450"/>
      <c r="H82" s="450"/>
      <c r="I82" s="449"/>
      <c r="J82" s="451"/>
      <c r="K82" s="451"/>
    </row>
    <row r="83" spans="1:20" s="22" customFormat="1" ht="12" customHeight="1" x14ac:dyDescent="0.25">
      <c r="A83" s="449" t="s">
        <v>63</v>
      </c>
      <c r="B83" s="450" t="s">
        <v>64</v>
      </c>
      <c r="C83" s="17" t="s">
        <v>28</v>
      </c>
      <c r="D83" s="18">
        <f>D84+D85+D86+D87</f>
        <v>3293355.51</v>
      </c>
      <c r="E83" s="78">
        <f>E84+E85+E86+E87</f>
        <v>3289333.51</v>
      </c>
      <c r="F83" s="596">
        <f t="shared" si="17"/>
        <v>0.99877875316291009</v>
      </c>
      <c r="G83" s="450" t="s">
        <v>48</v>
      </c>
      <c r="H83" s="450" t="s">
        <v>49</v>
      </c>
      <c r="I83" s="449" t="s">
        <v>882</v>
      </c>
      <c r="J83" s="451"/>
      <c r="K83" s="451"/>
      <c r="L83" s="45"/>
      <c r="M83" s="45"/>
      <c r="N83" s="45"/>
      <c r="O83" s="45"/>
      <c r="P83" s="20"/>
      <c r="Q83" s="21"/>
      <c r="R83" s="21"/>
      <c r="S83" s="21"/>
      <c r="T83" s="21"/>
    </row>
    <row r="84" spans="1:20" ht="12" customHeight="1" x14ac:dyDescent="0.25">
      <c r="A84" s="449"/>
      <c r="B84" s="450"/>
      <c r="C84" s="172" t="s">
        <v>30</v>
      </c>
      <c r="D84" s="15">
        <f>'[6]табл.8 уточнение 2021 04.02. '!$H$67</f>
        <v>1702022</v>
      </c>
      <c r="E84" s="132">
        <f>'31 12 2021'!M23+'31 12 2021'!M24+'31 12 2021'!M25</f>
        <v>1698000</v>
      </c>
      <c r="F84" s="595">
        <f t="shared" si="17"/>
        <v>0.99763692831232498</v>
      </c>
      <c r="G84" s="450"/>
      <c r="H84" s="450"/>
      <c r="I84" s="449"/>
      <c r="J84" s="451"/>
      <c r="K84" s="451"/>
    </row>
    <row r="85" spans="1:20" ht="12" customHeight="1" x14ac:dyDescent="0.25">
      <c r="A85" s="449"/>
      <c r="B85" s="450"/>
      <c r="C85" s="172" t="s">
        <v>32</v>
      </c>
      <c r="D85" s="15">
        <f>'[6]табл.8 уточнение 2021 04.02. '!$F$67</f>
        <v>1591333.51</v>
      </c>
      <c r="E85" s="80">
        <f>'31 12 2021'!M26</f>
        <v>1591333.51</v>
      </c>
      <c r="F85" s="595">
        <f>E85/D85</f>
        <v>1</v>
      </c>
      <c r="G85" s="450"/>
      <c r="H85" s="450"/>
      <c r="I85" s="449"/>
      <c r="J85" s="451"/>
      <c r="K85" s="451"/>
    </row>
    <row r="86" spans="1:20" ht="12" customHeight="1" x14ac:dyDescent="0.25">
      <c r="A86" s="449"/>
      <c r="B86" s="450"/>
      <c r="C86" s="172" t="s">
        <v>34</v>
      </c>
      <c r="D86" s="15">
        <f>'[3]табл.8 11.10.21'!G67</f>
        <v>0</v>
      </c>
      <c r="E86" s="80">
        <v>0</v>
      </c>
      <c r="F86" s="595">
        <v>0</v>
      </c>
      <c r="G86" s="450"/>
      <c r="H86" s="450"/>
      <c r="I86" s="449"/>
      <c r="J86" s="451"/>
      <c r="K86" s="451"/>
    </row>
    <row r="87" spans="1:20" ht="12" customHeight="1" x14ac:dyDescent="0.25">
      <c r="A87" s="449"/>
      <c r="B87" s="450"/>
      <c r="C87" s="172" t="s">
        <v>36</v>
      </c>
      <c r="D87" s="15">
        <f>'[3]табл.8 11.10.21'!I67</f>
        <v>0</v>
      </c>
      <c r="E87" s="80">
        <v>0</v>
      </c>
      <c r="F87" s="595">
        <v>0</v>
      </c>
      <c r="G87" s="450"/>
      <c r="H87" s="450"/>
      <c r="I87" s="449"/>
      <c r="J87" s="451"/>
      <c r="K87" s="451"/>
    </row>
    <row r="88" spans="1:20" s="22" customFormat="1" ht="12" customHeight="1" x14ac:dyDescent="0.25">
      <c r="A88" s="449" t="s">
        <v>65</v>
      </c>
      <c r="B88" s="450" t="s">
        <v>66</v>
      </c>
      <c r="C88" s="17" t="s">
        <v>28</v>
      </c>
      <c r="D88" s="18">
        <f>D89+D90+D91+D92</f>
        <v>0</v>
      </c>
      <c r="E88" s="78">
        <f>E89+E90+E91+E92</f>
        <v>0</v>
      </c>
      <c r="F88" s="596">
        <v>0</v>
      </c>
      <c r="G88" s="450" t="s">
        <v>48</v>
      </c>
      <c r="H88" s="450" t="s">
        <v>49</v>
      </c>
      <c r="I88" s="449" t="s">
        <v>50</v>
      </c>
      <c r="J88" s="451"/>
      <c r="K88" s="451"/>
      <c r="L88" s="45"/>
      <c r="M88" s="45"/>
      <c r="N88" s="45"/>
      <c r="O88" s="45"/>
      <c r="P88" s="20"/>
      <c r="Q88" s="21"/>
      <c r="R88" s="21"/>
      <c r="S88" s="21"/>
      <c r="T88" s="21"/>
    </row>
    <row r="89" spans="1:20" ht="12" customHeight="1" x14ac:dyDescent="0.25">
      <c r="A89" s="449"/>
      <c r="B89" s="450"/>
      <c r="C89" s="172" t="s">
        <v>30</v>
      </c>
      <c r="D89" s="15">
        <f>'[3]табл.8 11.10.21'!H73</f>
        <v>0</v>
      </c>
      <c r="E89" s="80">
        <v>0</v>
      </c>
      <c r="F89" s="595">
        <v>0</v>
      </c>
      <c r="G89" s="450"/>
      <c r="H89" s="450"/>
      <c r="I89" s="449"/>
      <c r="J89" s="451"/>
      <c r="K89" s="451"/>
    </row>
    <row r="90" spans="1:20" ht="12" customHeight="1" x14ac:dyDescent="0.25">
      <c r="A90" s="449"/>
      <c r="B90" s="450"/>
      <c r="C90" s="172" t="s">
        <v>32</v>
      </c>
      <c r="D90" s="15">
        <f>'[3]табл.8 11.10.21'!F73</f>
        <v>0</v>
      </c>
      <c r="E90" s="80">
        <v>0</v>
      </c>
      <c r="F90" s="595">
        <v>0</v>
      </c>
      <c r="G90" s="450"/>
      <c r="H90" s="450"/>
      <c r="I90" s="449"/>
      <c r="J90" s="451"/>
      <c r="K90" s="451"/>
    </row>
    <row r="91" spans="1:20" ht="12" customHeight="1" x14ac:dyDescent="0.25">
      <c r="A91" s="449"/>
      <c r="B91" s="450"/>
      <c r="C91" s="172" t="s">
        <v>34</v>
      </c>
      <c r="D91" s="15">
        <f>'[3]табл.8 11.10.21'!G73</f>
        <v>0</v>
      </c>
      <c r="E91" s="80">
        <v>0</v>
      </c>
      <c r="F91" s="595">
        <v>0</v>
      </c>
      <c r="G91" s="450"/>
      <c r="H91" s="450"/>
      <c r="I91" s="449"/>
      <c r="J91" s="451"/>
      <c r="K91" s="451"/>
    </row>
    <row r="92" spans="1:20" ht="12" customHeight="1" x14ac:dyDescent="0.25">
      <c r="A92" s="449"/>
      <c r="B92" s="450"/>
      <c r="C92" s="172" t="s">
        <v>36</v>
      </c>
      <c r="D92" s="15">
        <f>'[3]табл.8 11.10.21'!I73</f>
        <v>0</v>
      </c>
      <c r="E92" s="80">
        <v>0</v>
      </c>
      <c r="F92" s="595">
        <v>0</v>
      </c>
      <c r="G92" s="450"/>
      <c r="H92" s="450"/>
      <c r="I92" s="449"/>
      <c r="J92" s="451"/>
      <c r="K92" s="451"/>
    </row>
    <row r="93" spans="1:20" ht="12" customHeight="1" x14ac:dyDescent="0.25">
      <c r="A93" s="498" t="s">
        <v>67</v>
      </c>
      <c r="B93" s="499" t="s">
        <v>68</v>
      </c>
      <c r="C93" s="179" t="s">
        <v>28</v>
      </c>
      <c r="D93" s="35">
        <f>D94+D95+D96+D97</f>
        <v>672884953.33000004</v>
      </c>
      <c r="E93" s="318">
        <f>E94+E95+E96+E97</f>
        <v>672131437.27999997</v>
      </c>
      <c r="F93" s="600">
        <f>E93/D93</f>
        <v>0.99888017105112692</v>
      </c>
      <c r="G93" s="500"/>
      <c r="H93" s="178" t="s">
        <v>39</v>
      </c>
      <c r="I93" s="349">
        <f>SUM(I94:I96)</f>
        <v>2</v>
      </c>
      <c r="J93" s="501" t="s">
        <v>877</v>
      </c>
      <c r="K93" s="501"/>
    </row>
    <row r="94" spans="1:20" ht="12" customHeight="1" x14ac:dyDescent="0.25">
      <c r="A94" s="498"/>
      <c r="B94" s="499"/>
      <c r="C94" s="179" t="s">
        <v>30</v>
      </c>
      <c r="D94" s="35">
        <f>D99+D119</f>
        <v>115509016.14</v>
      </c>
      <c r="E94" s="318">
        <f>E99+E119</f>
        <v>115482719.31000002</v>
      </c>
      <c r="F94" s="600">
        <f t="shared" ref="F94:F97" si="18">E94/D94</f>
        <v>0.99977233958976752</v>
      </c>
      <c r="G94" s="500"/>
      <c r="H94" s="178" t="s">
        <v>31</v>
      </c>
      <c r="I94" s="179">
        <f>I99+I119</f>
        <v>2</v>
      </c>
      <c r="J94" s="501"/>
      <c r="K94" s="501"/>
      <c r="P94" s="7"/>
    </row>
    <row r="95" spans="1:20" ht="12" customHeight="1" x14ac:dyDescent="0.25">
      <c r="A95" s="498"/>
      <c r="B95" s="499"/>
      <c r="C95" s="179" t="s">
        <v>32</v>
      </c>
      <c r="D95" s="35">
        <f t="shared" ref="D95:E97" si="19">D100+D120</f>
        <v>492194635.19</v>
      </c>
      <c r="E95" s="318">
        <f>E100+E120</f>
        <v>492088190.03000003</v>
      </c>
      <c r="F95" s="600">
        <f t="shared" si="18"/>
        <v>0.99978373360376249</v>
      </c>
      <c r="G95" s="500"/>
      <c r="H95" s="178" t="s">
        <v>33</v>
      </c>
      <c r="I95" s="242">
        <f t="shared" ref="I95:I96" si="20">I100+I120</f>
        <v>0</v>
      </c>
      <c r="J95" s="501"/>
      <c r="K95" s="501"/>
      <c r="P95" s="7"/>
    </row>
    <row r="96" spans="1:20" ht="12" customHeight="1" x14ac:dyDescent="0.25">
      <c r="A96" s="498"/>
      <c r="B96" s="499"/>
      <c r="C96" s="179" t="s">
        <v>34</v>
      </c>
      <c r="D96" s="35">
        <f t="shared" si="19"/>
        <v>62906740</v>
      </c>
      <c r="E96" s="318">
        <f t="shared" si="19"/>
        <v>62416481.939999998</v>
      </c>
      <c r="F96" s="600">
        <f t="shared" si="18"/>
        <v>0.99220658930982586</v>
      </c>
      <c r="G96" s="500"/>
      <c r="H96" s="178" t="s">
        <v>35</v>
      </c>
      <c r="I96" s="242">
        <f t="shared" si="20"/>
        <v>0</v>
      </c>
      <c r="J96" s="501"/>
      <c r="K96" s="501"/>
    </row>
    <row r="97" spans="1:20" ht="12" customHeight="1" x14ac:dyDescent="0.25">
      <c r="A97" s="498"/>
      <c r="B97" s="499"/>
      <c r="C97" s="179" t="s">
        <v>36</v>
      </c>
      <c r="D97" s="35">
        <f t="shared" si="19"/>
        <v>2274562</v>
      </c>
      <c r="E97" s="318">
        <f t="shared" si="19"/>
        <v>2144046</v>
      </c>
      <c r="F97" s="600">
        <f t="shared" si="18"/>
        <v>0.94261928230578018</v>
      </c>
      <c r="G97" s="500"/>
      <c r="H97" s="178" t="s">
        <v>37</v>
      </c>
      <c r="I97" s="631">
        <f>(I34+0.5*I35)/I33*100%</f>
        <v>1</v>
      </c>
      <c r="J97" s="501"/>
      <c r="K97" s="501"/>
    </row>
    <row r="98" spans="1:20" ht="12" customHeight="1" x14ac:dyDescent="0.25">
      <c r="A98" s="494" t="s">
        <v>69</v>
      </c>
      <c r="B98" s="495" t="s">
        <v>70</v>
      </c>
      <c r="C98" s="180" t="s">
        <v>28</v>
      </c>
      <c r="D98" s="23">
        <f>D99+D100+D101+D102</f>
        <v>627563668.51999998</v>
      </c>
      <c r="E98" s="317">
        <f>E99+E100+E101+E102</f>
        <v>627033235.61000001</v>
      </c>
      <c r="F98" s="601">
        <f>E98/D98</f>
        <v>0.99915477434942834</v>
      </c>
      <c r="G98" s="496"/>
      <c r="H98" s="38" t="s">
        <v>39</v>
      </c>
      <c r="I98" s="39">
        <f>SUM(I99:I101)</f>
        <v>1</v>
      </c>
      <c r="J98" s="497" t="s">
        <v>877</v>
      </c>
      <c r="K98" s="497"/>
    </row>
    <row r="99" spans="1:20" ht="12" customHeight="1" x14ac:dyDescent="0.25">
      <c r="A99" s="494"/>
      <c r="B99" s="495"/>
      <c r="C99" s="180" t="s">
        <v>30</v>
      </c>
      <c r="D99" s="23">
        <f>D104+D109+D114</f>
        <v>106018711.33</v>
      </c>
      <c r="E99" s="317">
        <f>E104+E109+E114</f>
        <v>106016104.69000001</v>
      </c>
      <c r="F99" s="601">
        <f t="shared" ref="F99:F115" si="21">E99/D99</f>
        <v>0.99997541339667984</v>
      </c>
      <c r="G99" s="496"/>
      <c r="H99" s="38" t="s">
        <v>31</v>
      </c>
      <c r="I99" s="180">
        <v>1</v>
      </c>
      <c r="J99" s="497"/>
      <c r="K99" s="497"/>
    </row>
    <row r="100" spans="1:20" ht="12" customHeight="1" x14ac:dyDescent="0.25">
      <c r="A100" s="494"/>
      <c r="B100" s="495"/>
      <c r="C100" s="180" t="s">
        <v>32</v>
      </c>
      <c r="D100" s="23">
        <f t="shared" ref="D100:E102" si="22">D105+D110+D115</f>
        <v>478882355.19</v>
      </c>
      <c r="E100" s="317">
        <f>E105+E110+E115</f>
        <v>478833798.68000001</v>
      </c>
      <c r="F100" s="601">
        <f t="shared" si="21"/>
        <v>0.99989860451220691</v>
      </c>
      <c r="G100" s="496"/>
      <c r="H100" s="38" t="s">
        <v>33</v>
      </c>
      <c r="I100" s="180">
        <v>0</v>
      </c>
      <c r="J100" s="497"/>
      <c r="K100" s="497"/>
    </row>
    <row r="101" spans="1:20" ht="12" customHeight="1" x14ac:dyDescent="0.25">
      <c r="A101" s="494"/>
      <c r="B101" s="495"/>
      <c r="C101" s="180" t="s">
        <v>34</v>
      </c>
      <c r="D101" s="23">
        <f t="shared" si="22"/>
        <v>40388040</v>
      </c>
      <c r="E101" s="317">
        <f t="shared" si="22"/>
        <v>40039286.240000002</v>
      </c>
      <c r="F101" s="601">
        <f t="shared" si="21"/>
        <v>0.99136492486389538</v>
      </c>
      <c r="G101" s="496"/>
      <c r="H101" s="38" t="s">
        <v>35</v>
      </c>
      <c r="I101" s="180">
        <v>0</v>
      </c>
      <c r="J101" s="497"/>
      <c r="K101" s="497"/>
    </row>
    <row r="102" spans="1:20" ht="12" customHeight="1" x14ac:dyDescent="0.25">
      <c r="A102" s="494"/>
      <c r="B102" s="495"/>
      <c r="C102" s="180" t="s">
        <v>36</v>
      </c>
      <c r="D102" s="23">
        <f t="shared" si="22"/>
        <v>2274562</v>
      </c>
      <c r="E102" s="317">
        <f t="shared" si="22"/>
        <v>2144046</v>
      </c>
      <c r="F102" s="601">
        <f t="shared" si="21"/>
        <v>0.94261928230578018</v>
      </c>
      <c r="G102" s="496"/>
      <c r="H102" s="38" t="s">
        <v>37</v>
      </c>
      <c r="I102" s="632">
        <f>(I34+0.5*I35)/I33*100%</f>
        <v>1</v>
      </c>
      <c r="J102" s="497"/>
      <c r="K102" s="497"/>
    </row>
    <row r="103" spans="1:20" s="22" customFormat="1" ht="12" customHeight="1" x14ac:dyDescent="0.25">
      <c r="A103" s="449" t="s">
        <v>71</v>
      </c>
      <c r="B103" s="450" t="s">
        <v>72</v>
      </c>
      <c r="C103" s="17" t="s">
        <v>28</v>
      </c>
      <c r="D103" s="18">
        <f>D104+D105+D106+D107</f>
        <v>516943870</v>
      </c>
      <c r="E103" s="78">
        <f>E104+E105+E106+E107</f>
        <v>516590259.73000002</v>
      </c>
      <c r="F103" s="596">
        <f t="shared" si="21"/>
        <v>0.99931596002869716</v>
      </c>
      <c r="G103" s="450" t="s">
        <v>48</v>
      </c>
      <c r="H103" s="450" t="s">
        <v>49</v>
      </c>
      <c r="I103" s="449" t="s">
        <v>882</v>
      </c>
      <c r="J103" s="451"/>
      <c r="K103" s="451"/>
      <c r="L103" s="45"/>
      <c r="M103" s="45"/>
      <c r="N103" s="45"/>
      <c r="O103" s="45"/>
      <c r="P103" s="20"/>
      <c r="Q103" s="21"/>
      <c r="R103" s="21"/>
      <c r="S103" s="21"/>
      <c r="T103" s="21"/>
    </row>
    <row r="104" spans="1:20" ht="12" customHeight="1" x14ac:dyDescent="0.25">
      <c r="A104" s="449"/>
      <c r="B104" s="450"/>
      <c r="C104" s="172" t="s">
        <v>30</v>
      </c>
      <c r="D104" s="15">
        <f>'[3]табл.8 11.10.21'!H91</f>
        <v>0</v>
      </c>
      <c r="E104" s="80"/>
      <c r="F104" s="595">
        <v>0</v>
      </c>
      <c r="G104" s="450"/>
      <c r="H104" s="450"/>
      <c r="I104" s="449"/>
      <c r="J104" s="451"/>
      <c r="K104" s="451"/>
    </row>
    <row r="105" spans="1:20" ht="12" customHeight="1" x14ac:dyDescent="0.25">
      <c r="A105" s="449"/>
      <c r="B105" s="450"/>
      <c r="C105" s="172" t="s">
        <v>32</v>
      </c>
      <c r="D105" s="15">
        <f>'[6]табл.8 уточнение 2021 04.02. '!$F$91</f>
        <v>476555830</v>
      </c>
      <c r="E105" s="132">
        <f>'31 12 2021'!M36+'31 12 2021'!M37+'31 12 2021'!M38+'31 12 2021'!M39+'31 12 2021'!M90</f>
        <v>476550973.49000001</v>
      </c>
      <c r="F105" s="595">
        <f t="shared" si="21"/>
        <v>0.99998980914785995</v>
      </c>
      <c r="G105" s="450"/>
      <c r="H105" s="450"/>
      <c r="I105" s="449"/>
      <c r="J105" s="451"/>
      <c r="K105" s="451"/>
      <c r="P105" s="12"/>
      <c r="Q105" s="12"/>
    </row>
    <row r="106" spans="1:20" ht="12" customHeight="1" x14ac:dyDescent="0.25">
      <c r="A106" s="449"/>
      <c r="B106" s="450"/>
      <c r="C106" s="172" t="s">
        <v>34</v>
      </c>
      <c r="D106" s="15">
        <f>'[6]табл.8 уточнение 2021 04.02. '!$G$91</f>
        <v>40388040</v>
      </c>
      <c r="E106" s="132">
        <f>'31 12 2021'!M33+'31 12 2021'!M34</f>
        <v>40039286.240000002</v>
      </c>
      <c r="F106" s="595">
        <f t="shared" si="21"/>
        <v>0.99136492486389538</v>
      </c>
      <c r="G106" s="450"/>
      <c r="H106" s="450"/>
      <c r="I106" s="449"/>
      <c r="J106" s="451"/>
      <c r="K106" s="451"/>
      <c r="P106" s="12"/>
      <c r="Q106" s="12"/>
    </row>
    <row r="107" spans="1:20" ht="12" customHeight="1" x14ac:dyDescent="0.25">
      <c r="A107" s="449"/>
      <c r="B107" s="450"/>
      <c r="C107" s="172" t="s">
        <v>36</v>
      </c>
      <c r="D107" s="15">
        <f>'[3]табл.8 11.10.21'!I91</f>
        <v>0</v>
      </c>
      <c r="E107" s="80">
        <v>0</v>
      </c>
      <c r="F107" s="595">
        <v>0</v>
      </c>
      <c r="G107" s="450"/>
      <c r="H107" s="450"/>
      <c r="I107" s="449"/>
      <c r="J107" s="451"/>
      <c r="K107" s="451"/>
    </row>
    <row r="108" spans="1:20" s="22" customFormat="1" ht="11.25" customHeight="1" x14ac:dyDescent="0.25">
      <c r="A108" s="449" t="s">
        <v>73</v>
      </c>
      <c r="B108" s="450" t="s">
        <v>74</v>
      </c>
      <c r="C108" s="17" t="s">
        <v>28</v>
      </c>
      <c r="D108" s="18">
        <f>D109+D110+D111+D112</f>
        <v>110004419.94</v>
      </c>
      <c r="E108" s="78">
        <f>E109+E110+E111+E112</f>
        <v>109827597.30000001</v>
      </c>
      <c r="F108" s="596">
        <f t="shared" si="21"/>
        <v>0.99839258604248415</v>
      </c>
      <c r="G108" s="450" t="s">
        <v>48</v>
      </c>
      <c r="H108" s="450" t="s">
        <v>49</v>
      </c>
      <c r="I108" s="449" t="s">
        <v>882</v>
      </c>
      <c r="J108" s="451"/>
      <c r="K108" s="451"/>
      <c r="L108" s="45"/>
      <c r="M108" s="45"/>
      <c r="N108" s="45"/>
      <c r="O108" s="45"/>
      <c r="P108" s="20"/>
      <c r="Q108" s="21"/>
      <c r="R108" s="21"/>
      <c r="S108" s="21"/>
      <c r="T108" s="21"/>
    </row>
    <row r="109" spans="1:20" ht="11.25" customHeight="1" x14ac:dyDescent="0.25">
      <c r="A109" s="449"/>
      <c r="B109" s="450"/>
      <c r="C109" s="172" t="s">
        <v>30</v>
      </c>
      <c r="D109" s="15">
        <f>'[6]табл.8 уточнение 2021 04.02. '!$H$97</f>
        <v>105972557.94</v>
      </c>
      <c r="E109" s="132">
        <f>'31 12 2021'!M27+'31 12 2021'!M28+'31 12 2021'!M29+'31 12 2021'!M30+'31 12 2021'!M31+'31 12 2021'!M32+'31 12 2021'!M88+'31 12 2021'!M89</f>
        <v>105969951.30000001</v>
      </c>
      <c r="F109" s="595">
        <f t="shared" si="21"/>
        <v>0.99997540268867091</v>
      </c>
      <c r="G109" s="450"/>
      <c r="H109" s="450"/>
      <c r="I109" s="449"/>
      <c r="J109" s="451"/>
      <c r="K109" s="451"/>
      <c r="P109" s="12"/>
      <c r="Q109" s="12"/>
    </row>
    <row r="110" spans="1:20" ht="11.25" customHeight="1" x14ac:dyDescent="0.25">
      <c r="A110" s="449"/>
      <c r="B110" s="450"/>
      <c r="C110" s="172" t="s">
        <v>32</v>
      </c>
      <c r="D110" s="15">
        <f>'[6]табл.8 уточнение 2021 04.02. '!$F$97</f>
        <v>1757300</v>
      </c>
      <c r="E110" s="132">
        <f>'31 12 2021'!M120</f>
        <v>1713600</v>
      </c>
      <c r="F110" s="595">
        <f t="shared" si="21"/>
        <v>0.9751323052409947</v>
      </c>
      <c r="G110" s="450"/>
      <c r="H110" s="450"/>
      <c r="I110" s="449"/>
      <c r="J110" s="451"/>
      <c r="K110" s="451"/>
    </row>
    <row r="111" spans="1:20" ht="11.25" customHeight="1" x14ac:dyDescent="0.25">
      <c r="A111" s="449"/>
      <c r="B111" s="450"/>
      <c r="C111" s="172" t="s">
        <v>34</v>
      </c>
      <c r="D111" s="15">
        <f>'[3]табл.8 11.10.21'!G97</f>
        <v>0</v>
      </c>
      <c r="E111" s="132">
        <v>0</v>
      </c>
      <c r="F111" s="595">
        <v>0</v>
      </c>
      <c r="G111" s="450"/>
      <c r="H111" s="450"/>
      <c r="I111" s="449"/>
      <c r="J111" s="451"/>
      <c r="K111" s="451"/>
    </row>
    <row r="112" spans="1:20" ht="11.25" customHeight="1" x14ac:dyDescent="0.25">
      <c r="A112" s="449"/>
      <c r="B112" s="450"/>
      <c r="C112" s="172" t="s">
        <v>36</v>
      </c>
      <c r="D112" s="15">
        <f>'[6]табл.8 уточнение 2021 04.02. '!$I$97</f>
        <v>2274562</v>
      </c>
      <c r="E112" s="132">
        <f>'[7]МП Образование ВБС 01.01.2021'!$E$44</f>
        <v>2144046</v>
      </c>
      <c r="F112" s="595">
        <f t="shared" si="21"/>
        <v>0.94261928230578018</v>
      </c>
      <c r="G112" s="450"/>
      <c r="H112" s="450"/>
      <c r="I112" s="449"/>
      <c r="J112" s="451"/>
      <c r="K112" s="451"/>
    </row>
    <row r="113" spans="1:20" s="22" customFormat="1" ht="33" customHeight="1" x14ac:dyDescent="0.25">
      <c r="A113" s="449" t="s">
        <v>75</v>
      </c>
      <c r="B113" s="450" t="s">
        <v>76</v>
      </c>
      <c r="C113" s="17" t="s">
        <v>28</v>
      </c>
      <c r="D113" s="18">
        <f>D114+D115+D116+D117</f>
        <v>615378.57999999996</v>
      </c>
      <c r="E113" s="78">
        <f>E114+E115+E116+E117</f>
        <v>615378.57999999996</v>
      </c>
      <c r="F113" s="596">
        <f t="shared" si="21"/>
        <v>1</v>
      </c>
      <c r="G113" s="450" t="s">
        <v>48</v>
      </c>
      <c r="H113" s="450" t="s">
        <v>49</v>
      </c>
      <c r="I113" s="449" t="s">
        <v>882</v>
      </c>
      <c r="J113" s="451"/>
      <c r="K113" s="451"/>
      <c r="L113" s="45"/>
      <c r="M113" s="45"/>
      <c r="N113" s="45"/>
      <c r="O113" s="45"/>
      <c r="P113" s="20"/>
      <c r="Q113" s="21"/>
      <c r="R113" s="21"/>
      <c r="S113" s="21"/>
      <c r="T113" s="21"/>
    </row>
    <row r="114" spans="1:20" ht="33" customHeight="1" x14ac:dyDescent="0.25">
      <c r="A114" s="449"/>
      <c r="B114" s="450"/>
      <c r="C114" s="172" t="s">
        <v>30</v>
      </c>
      <c r="D114" s="15">
        <f>'[6]табл.8 уточнение 2021 04.02. '!$H$103</f>
        <v>46153.39</v>
      </c>
      <c r="E114" s="132">
        <f>'31 12 2021'!M40</f>
        <v>46153.39</v>
      </c>
      <c r="F114" s="595">
        <f t="shared" si="21"/>
        <v>1</v>
      </c>
      <c r="G114" s="450"/>
      <c r="H114" s="450"/>
      <c r="I114" s="449"/>
      <c r="J114" s="451"/>
      <c r="K114" s="451"/>
    </row>
    <row r="115" spans="1:20" ht="33" customHeight="1" x14ac:dyDescent="0.25">
      <c r="A115" s="449"/>
      <c r="B115" s="450"/>
      <c r="C115" s="172" t="s">
        <v>32</v>
      </c>
      <c r="D115" s="15">
        <f>'[6]табл.8 уточнение 2021 04.02. '!$F$103</f>
        <v>569225.18999999994</v>
      </c>
      <c r="E115" s="132">
        <f>'31 12 2021'!M35</f>
        <v>569225.18999999994</v>
      </c>
      <c r="F115" s="595">
        <f t="shared" si="21"/>
        <v>1</v>
      </c>
      <c r="G115" s="450"/>
      <c r="H115" s="450"/>
      <c r="I115" s="449"/>
      <c r="J115" s="451"/>
      <c r="K115" s="451"/>
    </row>
    <row r="116" spans="1:20" ht="33" customHeight="1" x14ac:dyDescent="0.25">
      <c r="A116" s="449"/>
      <c r="B116" s="450"/>
      <c r="C116" s="172" t="s">
        <v>34</v>
      </c>
      <c r="D116" s="15">
        <f>'[3]табл.8 11.10.21'!G103</f>
        <v>0</v>
      </c>
      <c r="E116" s="80">
        <v>0</v>
      </c>
      <c r="F116" s="595">
        <v>0</v>
      </c>
      <c r="G116" s="450"/>
      <c r="H116" s="450"/>
      <c r="I116" s="449"/>
      <c r="J116" s="451"/>
      <c r="K116" s="451"/>
    </row>
    <row r="117" spans="1:20" ht="33" customHeight="1" x14ac:dyDescent="0.25">
      <c r="A117" s="449"/>
      <c r="B117" s="450"/>
      <c r="C117" s="172" t="s">
        <v>36</v>
      </c>
      <c r="D117" s="15">
        <f>'[3]табл.8 11.10.21'!I103</f>
        <v>0</v>
      </c>
      <c r="E117" s="80">
        <v>0</v>
      </c>
      <c r="F117" s="595">
        <v>0</v>
      </c>
      <c r="G117" s="450"/>
      <c r="H117" s="450"/>
      <c r="I117" s="449"/>
      <c r="J117" s="451"/>
      <c r="K117" s="451"/>
    </row>
    <row r="118" spans="1:20" s="22" customFormat="1" ht="12" customHeight="1" x14ac:dyDescent="0.25">
      <c r="A118" s="494" t="s">
        <v>77</v>
      </c>
      <c r="B118" s="495" t="s">
        <v>78</v>
      </c>
      <c r="C118" s="39" t="s">
        <v>28</v>
      </c>
      <c r="D118" s="40">
        <f>D119+D120+D121+D122</f>
        <v>45321284.810000002</v>
      </c>
      <c r="E118" s="316">
        <f>E119+E120+E121+E122</f>
        <v>45098201.670000002</v>
      </c>
      <c r="F118" s="602">
        <f>E118/D118</f>
        <v>0.99507774016259176</v>
      </c>
      <c r="G118" s="535"/>
      <c r="H118" s="41" t="s">
        <v>39</v>
      </c>
      <c r="I118" s="39">
        <f>SUM(I119:I121)</f>
        <v>1</v>
      </c>
      <c r="J118" s="497" t="s">
        <v>877</v>
      </c>
      <c r="K118" s="497"/>
      <c r="L118" s="45"/>
      <c r="M118" s="45"/>
      <c r="N118" s="45"/>
      <c r="O118" s="45"/>
      <c r="P118" s="20"/>
      <c r="Q118" s="21"/>
      <c r="R118" s="21"/>
      <c r="S118" s="21"/>
      <c r="T118" s="21"/>
    </row>
    <row r="119" spans="1:20" ht="12" customHeight="1" x14ac:dyDescent="0.25">
      <c r="A119" s="494"/>
      <c r="B119" s="495"/>
      <c r="C119" s="180" t="s">
        <v>30</v>
      </c>
      <c r="D119" s="23">
        <f>D124+D129+D134</f>
        <v>9490304.8100000005</v>
      </c>
      <c r="E119" s="317">
        <f>E124+E129+E134</f>
        <v>9466614.620000001</v>
      </c>
      <c r="F119" s="601">
        <f t="shared" ref="F119:F131" si="23">E119/D119</f>
        <v>0.99750374824894594</v>
      </c>
      <c r="G119" s="536"/>
      <c r="H119" s="38" t="s">
        <v>31</v>
      </c>
      <c r="I119" s="241">
        <v>1</v>
      </c>
      <c r="J119" s="497"/>
      <c r="K119" s="497"/>
    </row>
    <row r="120" spans="1:20" ht="12" customHeight="1" x14ac:dyDescent="0.25">
      <c r="A120" s="494"/>
      <c r="B120" s="495"/>
      <c r="C120" s="180" t="s">
        <v>32</v>
      </c>
      <c r="D120" s="23">
        <f t="shared" ref="D120:E122" si="24">D125+D130+D135</f>
        <v>13312280</v>
      </c>
      <c r="E120" s="317">
        <f t="shared" si="24"/>
        <v>13254391.35</v>
      </c>
      <c r="F120" s="601">
        <f t="shared" si="23"/>
        <v>0.99565148494472766</v>
      </c>
      <c r="G120" s="536"/>
      <c r="H120" s="38" t="s">
        <v>33</v>
      </c>
      <c r="I120" s="241">
        <v>0</v>
      </c>
      <c r="J120" s="497"/>
      <c r="K120" s="497"/>
    </row>
    <row r="121" spans="1:20" ht="12" customHeight="1" x14ac:dyDescent="0.25">
      <c r="A121" s="494"/>
      <c r="B121" s="495"/>
      <c r="C121" s="180" t="s">
        <v>34</v>
      </c>
      <c r="D121" s="23">
        <f t="shared" si="24"/>
        <v>22518700</v>
      </c>
      <c r="E121" s="317">
        <f t="shared" si="24"/>
        <v>22377195.699999999</v>
      </c>
      <c r="F121" s="601">
        <f t="shared" si="23"/>
        <v>0.99371614258371932</v>
      </c>
      <c r="G121" s="536"/>
      <c r="H121" s="38" t="s">
        <v>35</v>
      </c>
      <c r="I121" s="241">
        <v>0</v>
      </c>
      <c r="J121" s="497"/>
      <c r="K121" s="497"/>
    </row>
    <row r="122" spans="1:20" ht="12" customHeight="1" x14ac:dyDescent="0.25">
      <c r="A122" s="494"/>
      <c r="B122" s="495"/>
      <c r="C122" s="180" t="s">
        <v>36</v>
      </c>
      <c r="D122" s="23">
        <f t="shared" si="24"/>
        <v>0</v>
      </c>
      <c r="E122" s="317">
        <f>E127+E132+E137</f>
        <v>0</v>
      </c>
      <c r="F122" s="601">
        <v>0</v>
      </c>
      <c r="G122" s="537"/>
      <c r="H122" s="38" t="s">
        <v>37</v>
      </c>
      <c r="I122" s="632">
        <f>(I34+0.5*I35)/I33*100%</f>
        <v>1</v>
      </c>
      <c r="J122" s="497"/>
      <c r="K122" s="497"/>
    </row>
    <row r="123" spans="1:20" s="22" customFormat="1" ht="12" customHeight="1" x14ac:dyDescent="0.25">
      <c r="A123" s="449" t="s">
        <v>79</v>
      </c>
      <c r="B123" s="450" t="s">
        <v>62</v>
      </c>
      <c r="C123" s="17" t="s">
        <v>28</v>
      </c>
      <c r="D123" s="18">
        <f>D124+D125+D126+D127</f>
        <v>0</v>
      </c>
      <c r="E123" s="78">
        <f>E124+E125+E126+E127</f>
        <v>0</v>
      </c>
      <c r="F123" s="596">
        <v>0</v>
      </c>
      <c r="G123" s="450" t="s">
        <v>48</v>
      </c>
      <c r="H123" s="450" t="s">
        <v>49</v>
      </c>
      <c r="I123" s="449" t="s">
        <v>50</v>
      </c>
      <c r="J123" s="451"/>
      <c r="K123" s="451"/>
      <c r="L123" s="45"/>
      <c r="M123" s="45"/>
      <c r="N123" s="45"/>
      <c r="O123" s="45"/>
      <c r="P123" s="20"/>
      <c r="Q123" s="21"/>
      <c r="R123" s="21"/>
      <c r="S123" s="21"/>
      <c r="T123" s="21"/>
    </row>
    <row r="124" spans="1:20" ht="12" customHeight="1" x14ac:dyDescent="0.25">
      <c r="A124" s="449"/>
      <c r="B124" s="450"/>
      <c r="C124" s="172" t="s">
        <v>30</v>
      </c>
      <c r="D124" s="15">
        <v>0</v>
      </c>
      <c r="E124" s="80">
        <v>0</v>
      </c>
      <c r="F124" s="595">
        <v>0</v>
      </c>
      <c r="G124" s="450"/>
      <c r="H124" s="450"/>
      <c r="I124" s="449"/>
      <c r="J124" s="451"/>
      <c r="K124" s="451"/>
    </row>
    <row r="125" spans="1:20" ht="12" customHeight="1" x14ac:dyDescent="0.25">
      <c r="A125" s="449"/>
      <c r="B125" s="450"/>
      <c r="C125" s="172" t="s">
        <v>32</v>
      </c>
      <c r="D125" s="15">
        <f>'[3]табл.8 11.10.21'!F115</f>
        <v>0</v>
      </c>
      <c r="E125" s="80">
        <v>0</v>
      </c>
      <c r="F125" s="595">
        <v>0</v>
      </c>
      <c r="G125" s="450"/>
      <c r="H125" s="450"/>
      <c r="I125" s="449"/>
      <c r="J125" s="451"/>
      <c r="K125" s="451"/>
    </row>
    <row r="126" spans="1:20" ht="12" customHeight="1" x14ac:dyDescent="0.25">
      <c r="A126" s="449"/>
      <c r="B126" s="450"/>
      <c r="C126" s="172" t="s">
        <v>34</v>
      </c>
      <c r="D126" s="15">
        <f>'[3]табл.8 11.10.21'!G115</f>
        <v>0</v>
      </c>
      <c r="E126" s="80">
        <v>0</v>
      </c>
      <c r="F126" s="595">
        <v>0</v>
      </c>
      <c r="G126" s="450"/>
      <c r="H126" s="450"/>
      <c r="I126" s="449"/>
      <c r="J126" s="451"/>
      <c r="K126" s="451"/>
    </row>
    <row r="127" spans="1:20" ht="12" customHeight="1" x14ac:dyDescent="0.25">
      <c r="A127" s="449"/>
      <c r="B127" s="450"/>
      <c r="C127" s="172" t="s">
        <v>36</v>
      </c>
      <c r="D127" s="15">
        <f>'[3]табл.8 11.10.21'!I115</f>
        <v>0</v>
      </c>
      <c r="E127" s="80">
        <v>0</v>
      </c>
      <c r="F127" s="595">
        <v>0</v>
      </c>
      <c r="G127" s="450"/>
      <c r="H127" s="450"/>
      <c r="I127" s="449"/>
      <c r="J127" s="451"/>
      <c r="K127" s="451"/>
    </row>
    <row r="128" spans="1:20" s="22" customFormat="1" ht="12" customHeight="1" x14ac:dyDescent="0.25">
      <c r="A128" s="449" t="s">
        <v>80</v>
      </c>
      <c r="B128" s="450" t="s">
        <v>64</v>
      </c>
      <c r="C128" s="17" t="s">
        <v>28</v>
      </c>
      <c r="D128" s="18">
        <f>D129+D130+D131+D132</f>
        <v>43319028.810000002</v>
      </c>
      <c r="E128" s="78">
        <f>E129+E130+E131+E132</f>
        <v>43119635.859999999</v>
      </c>
      <c r="F128" s="596">
        <f t="shared" si="23"/>
        <v>0.99539710479487997</v>
      </c>
      <c r="G128" s="450" t="s">
        <v>48</v>
      </c>
      <c r="H128" s="450" t="s">
        <v>49</v>
      </c>
      <c r="I128" s="449" t="s">
        <v>882</v>
      </c>
      <c r="J128" s="451"/>
      <c r="K128" s="451"/>
      <c r="L128" s="45"/>
      <c r="M128" s="45"/>
      <c r="N128" s="45"/>
      <c r="O128" s="45"/>
      <c r="P128" s="20"/>
      <c r="Q128" s="21"/>
      <c r="R128" s="21"/>
      <c r="S128" s="21"/>
      <c r="T128" s="21"/>
    </row>
    <row r="129" spans="1:20" ht="12" customHeight="1" x14ac:dyDescent="0.25">
      <c r="A129" s="449"/>
      <c r="B129" s="450"/>
      <c r="C129" s="172" t="s">
        <v>30</v>
      </c>
      <c r="D129" s="15">
        <f>'[6]табл.8 уточнение 2021 04.02. '!$H$121</f>
        <v>7488048.8100000005</v>
      </c>
      <c r="E129" s="132">
        <f>'31 12 2021'!M43+'31 12 2021'!M44+'31 12 2021'!M45+'31 12 2021'!M46+'31 12 2021'!M49+'31 12 2021'!M50-E134</f>
        <v>7488048.8100000005</v>
      </c>
      <c r="F129" s="595">
        <f t="shared" si="23"/>
        <v>1</v>
      </c>
      <c r="G129" s="450"/>
      <c r="H129" s="450"/>
      <c r="I129" s="449"/>
      <c r="J129" s="451"/>
      <c r="K129" s="451"/>
    </row>
    <row r="130" spans="1:20" ht="12" customHeight="1" x14ac:dyDescent="0.25">
      <c r="A130" s="449"/>
      <c r="B130" s="450"/>
      <c r="C130" s="172" t="s">
        <v>32</v>
      </c>
      <c r="D130" s="15">
        <f>'[6]табл.8 уточнение 2021 04.02. '!$F$121</f>
        <v>13312280</v>
      </c>
      <c r="E130" s="132">
        <f>'31 12 2021'!M47+'31 12 2021'!M48+'31 12 2021'!M42</f>
        <v>13254391.35</v>
      </c>
      <c r="F130" s="595">
        <f t="shared" si="23"/>
        <v>0.99565148494472766</v>
      </c>
      <c r="G130" s="450"/>
      <c r="H130" s="450"/>
      <c r="I130" s="449"/>
      <c r="J130" s="451"/>
      <c r="K130" s="451"/>
    </row>
    <row r="131" spans="1:20" ht="12" customHeight="1" x14ac:dyDescent="0.25">
      <c r="A131" s="449"/>
      <c r="B131" s="450"/>
      <c r="C131" s="172" t="s">
        <v>34</v>
      </c>
      <c r="D131" s="15">
        <f>'[6]табл.8 уточнение 2021 04.02. '!$G$121</f>
        <v>22518700</v>
      </c>
      <c r="E131" s="132">
        <f>'31 12 2021'!M41</f>
        <v>22377195.699999999</v>
      </c>
      <c r="F131" s="595">
        <f t="shared" si="23"/>
        <v>0.99371614258371932</v>
      </c>
      <c r="G131" s="450"/>
      <c r="H131" s="450"/>
      <c r="I131" s="449"/>
      <c r="J131" s="451"/>
      <c r="K131" s="451"/>
    </row>
    <row r="132" spans="1:20" ht="12" customHeight="1" x14ac:dyDescent="0.25">
      <c r="A132" s="449"/>
      <c r="B132" s="450"/>
      <c r="C132" s="172" t="s">
        <v>36</v>
      </c>
      <c r="D132" s="15">
        <f>'[3]табл.8 11.10.21'!I121</f>
        <v>0</v>
      </c>
      <c r="E132" s="80">
        <v>0</v>
      </c>
      <c r="F132" s="595">
        <v>0</v>
      </c>
      <c r="G132" s="450"/>
      <c r="H132" s="450"/>
      <c r="I132" s="449"/>
      <c r="J132" s="451"/>
      <c r="K132" s="451"/>
    </row>
    <row r="133" spans="1:20" s="22" customFormat="1" ht="12" customHeight="1" x14ac:dyDescent="0.25">
      <c r="A133" s="449" t="s">
        <v>81</v>
      </c>
      <c r="B133" s="450" t="s">
        <v>66</v>
      </c>
      <c r="C133" s="17" t="s">
        <v>28</v>
      </c>
      <c r="D133" s="18">
        <f>D134+D135+D136+D137</f>
        <v>2002256</v>
      </c>
      <c r="E133" s="78">
        <f>E134+E135+E136+E137</f>
        <v>1978565.81</v>
      </c>
      <c r="F133" s="596">
        <f>E133/D133</f>
        <v>0.98816825121263219</v>
      </c>
      <c r="G133" s="450" t="s">
        <v>48</v>
      </c>
      <c r="H133" s="450" t="s">
        <v>49</v>
      </c>
      <c r="I133" s="449" t="s">
        <v>882</v>
      </c>
      <c r="J133" s="451"/>
      <c r="K133" s="451"/>
      <c r="L133" s="45"/>
      <c r="M133" s="45"/>
      <c r="N133" s="45"/>
      <c r="O133" s="45"/>
      <c r="P133" s="20"/>
      <c r="Q133" s="21"/>
      <c r="R133" s="21"/>
      <c r="S133" s="21"/>
      <c r="T133" s="21"/>
    </row>
    <row r="134" spans="1:20" ht="12" customHeight="1" x14ac:dyDescent="0.25">
      <c r="A134" s="449"/>
      <c r="B134" s="450"/>
      <c r="C134" s="172" t="s">
        <v>30</v>
      </c>
      <c r="D134" s="15">
        <f>'[6]табл.8 уточнение 2021 04.02. '!$H$115</f>
        <v>2002256</v>
      </c>
      <c r="E134" s="80">
        <f>272240+186960+284400+252150+295455.81+687360</f>
        <v>1978565.81</v>
      </c>
      <c r="F134" s="595">
        <f>E134/D134</f>
        <v>0.98816825121263219</v>
      </c>
      <c r="G134" s="450"/>
      <c r="H134" s="450"/>
      <c r="I134" s="449"/>
      <c r="J134" s="451"/>
      <c r="K134" s="451"/>
    </row>
    <row r="135" spans="1:20" ht="12" customHeight="1" x14ac:dyDescent="0.25">
      <c r="A135" s="449"/>
      <c r="B135" s="450"/>
      <c r="C135" s="172" t="s">
        <v>32</v>
      </c>
      <c r="D135" s="15">
        <f>'[3]табл.8 11.10.21'!F127</f>
        <v>0</v>
      </c>
      <c r="E135" s="80">
        <v>0</v>
      </c>
      <c r="F135" s="595">
        <v>0</v>
      </c>
      <c r="G135" s="450"/>
      <c r="H135" s="450"/>
      <c r="I135" s="449"/>
      <c r="J135" s="451"/>
      <c r="K135" s="451"/>
    </row>
    <row r="136" spans="1:20" ht="12" customHeight="1" x14ac:dyDescent="0.25">
      <c r="A136" s="449"/>
      <c r="B136" s="450"/>
      <c r="C136" s="172" t="s">
        <v>34</v>
      </c>
      <c r="D136" s="15">
        <f>'[3]табл.8 11.10.21'!G127</f>
        <v>0</v>
      </c>
      <c r="E136" s="80">
        <v>0</v>
      </c>
      <c r="F136" s="595">
        <v>0</v>
      </c>
      <c r="G136" s="450"/>
      <c r="H136" s="450"/>
      <c r="I136" s="449"/>
      <c r="J136" s="451"/>
      <c r="K136" s="451"/>
    </row>
    <row r="137" spans="1:20" ht="12" customHeight="1" x14ac:dyDescent="0.25">
      <c r="A137" s="449"/>
      <c r="B137" s="450"/>
      <c r="C137" s="172" t="s">
        <v>36</v>
      </c>
      <c r="D137" s="15">
        <f>'[3]табл.8 11.10.21'!I127</f>
        <v>0</v>
      </c>
      <c r="E137" s="80">
        <v>0</v>
      </c>
      <c r="F137" s="595">
        <v>0</v>
      </c>
      <c r="G137" s="450"/>
      <c r="H137" s="450"/>
      <c r="I137" s="449"/>
      <c r="J137" s="451"/>
      <c r="K137" s="451"/>
    </row>
    <row r="138" spans="1:20" s="22" customFormat="1" ht="15.75" customHeight="1" x14ac:dyDescent="0.25">
      <c r="A138" s="490" t="s">
        <v>82</v>
      </c>
      <c r="B138" s="491" t="s">
        <v>83</v>
      </c>
      <c r="C138" s="42" t="s">
        <v>28</v>
      </c>
      <c r="D138" s="43">
        <f>D139+D140+D141+D142</f>
        <v>398318683.38</v>
      </c>
      <c r="E138" s="340">
        <f>E139+E140+E141+E142</f>
        <v>398321577.67000002</v>
      </c>
      <c r="F138" s="603">
        <f>E138/D138</f>
        <v>1.0000072662672397</v>
      </c>
      <c r="G138" s="492"/>
      <c r="H138" s="44" t="s">
        <v>39</v>
      </c>
      <c r="I138" s="42">
        <f>SUM(I139:I141)</f>
        <v>4</v>
      </c>
      <c r="J138" s="493" t="s">
        <v>886</v>
      </c>
      <c r="K138" s="493"/>
      <c r="L138" s="45"/>
      <c r="M138" s="45"/>
      <c r="N138" s="45"/>
      <c r="O138" s="45"/>
      <c r="P138" s="45"/>
      <c r="Q138" s="21"/>
      <c r="R138" s="21"/>
      <c r="S138" s="21"/>
      <c r="T138" s="21"/>
    </row>
    <row r="139" spans="1:20" ht="15.75" customHeight="1" x14ac:dyDescent="0.25">
      <c r="A139" s="490"/>
      <c r="B139" s="491"/>
      <c r="C139" s="182" t="s">
        <v>30</v>
      </c>
      <c r="D139" s="47">
        <f>D144+D174+D204+D229</f>
        <v>329028316.21000004</v>
      </c>
      <c r="E139" s="341">
        <f>E144+E174+E204+E229</f>
        <v>328999182.47000003</v>
      </c>
      <c r="F139" s="603">
        <f t="shared" ref="F139:F142" si="25">E139/D139</f>
        <v>0.99991145521961278</v>
      </c>
      <c r="G139" s="492"/>
      <c r="H139" s="181" t="s">
        <v>31</v>
      </c>
      <c r="I139" s="182">
        <f>I144+I174+I204+I229</f>
        <v>4</v>
      </c>
      <c r="J139" s="493"/>
      <c r="K139" s="493"/>
      <c r="P139" s="7"/>
    </row>
    <row r="140" spans="1:20" ht="15.75" customHeight="1" x14ac:dyDescent="0.25">
      <c r="A140" s="490"/>
      <c r="B140" s="491"/>
      <c r="C140" s="182" t="s">
        <v>32</v>
      </c>
      <c r="D140" s="47">
        <f t="shared" ref="D140:E142" si="26">D145+D175+D205+D230</f>
        <v>41380542.079999998</v>
      </c>
      <c r="E140" s="341">
        <f t="shared" si="26"/>
        <v>41380542.079999998</v>
      </c>
      <c r="F140" s="603">
        <f t="shared" si="25"/>
        <v>1</v>
      </c>
      <c r="G140" s="492"/>
      <c r="H140" s="181" t="s">
        <v>33</v>
      </c>
      <c r="I140" s="240">
        <f t="shared" ref="I140:I141" si="27">I145+I175+I205+I230</f>
        <v>0</v>
      </c>
      <c r="J140" s="493"/>
      <c r="K140" s="493"/>
    </row>
    <row r="141" spans="1:20" ht="15.75" customHeight="1" x14ac:dyDescent="0.25">
      <c r="A141" s="490"/>
      <c r="B141" s="491"/>
      <c r="C141" s="182" t="s">
        <v>34</v>
      </c>
      <c r="D141" s="47">
        <f t="shared" si="26"/>
        <v>9326340.0199999996</v>
      </c>
      <c r="E141" s="341">
        <f t="shared" si="26"/>
        <v>9326340.0199999996</v>
      </c>
      <c r="F141" s="603">
        <f t="shared" si="25"/>
        <v>1</v>
      </c>
      <c r="G141" s="492"/>
      <c r="H141" s="181" t="s">
        <v>35</v>
      </c>
      <c r="I141" s="240">
        <f t="shared" si="27"/>
        <v>0</v>
      </c>
      <c r="J141" s="493"/>
      <c r="K141" s="493"/>
    </row>
    <row r="142" spans="1:20" ht="15.75" customHeight="1" x14ac:dyDescent="0.25">
      <c r="A142" s="490"/>
      <c r="B142" s="491"/>
      <c r="C142" s="182" t="s">
        <v>36</v>
      </c>
      <c r="D142" s="47">
        <f t="shared" si="26"/>
        <v>18583485.07</v>
      </c>
      <c r="E142" s="341">
        <f t="shared" si="26"/>
        <v>18615513.100000001</v>
      </c>
      <c r="F142" s="603">
        <f t="shared" si="25"/>
        <v>1.0017234673625188</v>
      </c>
      <c r="G142" s="492"/>
      <c r="H142" s="181" t="s">
        <v>37</v>
      </c>
      <c r="I142" s="633">
        <f>(I34+0.5*I35)/I33*100%</f>
        <v>1</v>
      </c>
      <c r="J142" s="493"/>
      <c r="K142" s="493"/>
    </row>
    <row r="143" spans="1:20" s="22" customFormat="1" ht="12" customHeight="1" x14ac:dyDescent="0.25">
      <c r="A143" s="486" t="s">
        <v>84</v>
      </c>
      <c r="B143" s="487" t="s">
        <v>85</v>
      </c>
      <c r="C143" s="49" t="s">
        <v>28</v>
      </c>
      <c r="D143" s="50">
        <f>D144+D145+D146+D147</f>
        <v>286989651.69</v>
      </c>
      <c r="E143" s="66">
        <f>E144+E145+E146+E147</f>
        <v>286956252.70999998</v>
      </c>
      <c r="F143" s="604">
        <f>E143/D143</f>
        <v>0.99988362305120293</v>
      </c>
      <c r="G143" s="488"/>
      <c r="H143" s="51" t="s">
        <v>39</v>
      </c>
      <c r="I143" s="49">
        <f>SUM(I144:I146)</f>
        <v>1</v>
      </c>
      <c r="J143" s="489" t="s">
        <v>877</v>
      </c>
      <c r="K143" s="489"/>
      <c r="L143" s="45"/>
      <c r="M143" s="45"/>
      <c r="N143" s="45"/>
      <c r="O143" s="45"/>
      <c r="P143" s="20"/>
      <c r="Q143" s="21"/>
      <c r="R143" s="21"/>
      <c r="S143" s="21"/>
      <c r="T143" s="21"/>
    </row>
    <row r="144" spans="1:20" ht="12" customHeight="1" x14ac:dyDescent="0.25">
      <c r="A144" s="486"/>
      <c r="B144" s="487"/>
      <c r="C144" s="183" t="s">
        <v>30</v>
      </c>
      <c r="D144" s="53">
        <f>D149+D154+D159+D164+D169</f>
        <v>244965935.58000001</v>
      </c>
      <c r="E144" s="72">
        <f>E149+E154+E159+E164+E169</f>
        <v>244937536.59999999</v>
      </c>
      <c r="F144" s="605">
        <f t="shared" ref="F144:F169" si="28">E144/D144</f>
        <v>0.99988406967714605</v>
      </c>
      <c r="G144" s="488"/>
      <c r="H144" s="54" t="s">
        <v>31</v>
      </c>
      <c r="I144" s="183">
        <v>1</v>
      </c>
      <c r="J144" s="489"/>
      <c r="K144" s="489"/>
    </row>
    <row r="145" spans="1:20" ht="12" customHeight="1" x14ac:dyDescent="0.25">
      <c r="A145" s="486"/>
      <c r="B145" s="487"/>
      <c r="C145" s="183" t="s">
        <v>32</v>
      </c>
      <c r="D145" s="53">
        <f t="shared" ref="D145:E147" si="29">D150+D155+D160+D165+D170</f>
        <v>26922897.550000001</v>
      </c>
      <c r="E145" s="72">
        <f t="shared" si="29"/>
        <v>26922897.550000001</v>
      </c>
      <c r="F145" s="605">
        <f t="shared" si="28"/>
        <v>1</v>
      </c>
      <c r="G145" s="488"/>
      <c r="H145" s="54" t="s">
        <v>33</v>
      </c>
      <c r="I145" s="183">
        <v>0</v>
      </c>
      <c r="J145" s="489"/>
      <c r="K145" s="489"/>
    </row>
    <row r="146" spans="1:20" ht="12" customHeight="1" x14ac:dyDescent="0.25">
      <c r="A146" s="486"/>
      <c r="B146" s="487"/>
      <c r="C146" s="183" t="s">
        <v>34</v>
      </c>
      <c r="D146" s="53">
        <f t="shared" si="29"/>
        <v>0</v>
      </c>
      <c r="E146" s="72">
        <f t="shared" si="29"/>
        <v>0</v>
      </c>
      <c r="F146" s="605">
        <v>0</v>
      </c>
      <c r="G146" s="488"/>
      <c r="H146" s="54" t="s">
        <v>35</v>
      </c>
      <c r="I146" s="183">
        <v>0</v>
      </c>
      <c r="J146" s="489"/>
      <c r="K146" s="489"/>
    </row>
    <row r="147" spans="1:20" ht="12" customHeight="1" x14ac:dyDescent="0.25">
      <c r="A147" s="486"/>
      <c r="B147" s="487"/>
      <c r="C147" s="183" t="s">
        <v>36</v>
      </c>
      <c r="D147" s="53">
        <f t="shared" si="29"/>
        <v>15100818.560000001</v>
      </c>
      <c r="E147" s="72">
        <f t="shared" si="29"/>
        <v>15095818.560000001</v>
      </c>
      <c r="F147" s="605">
        <f t="shared" si="28"/>
        <v>0.99966889212130228</v>
      </c>
      <c r="G147" s="488"/>
      <c r="H147" s="54" t="s">
        <v>37</v>
      </c>
      <c r="I147" s="634">
        <f>(I34+0.5*I35)/I33*100%</f>
        <v>1</v>
      </c>
      <c r="J147" s="489"/>
      <c r="K147" s="489"/>
    </row>
    <row r="148" spans="1:20" s="22" customFormat="1" ht="12" customHeight="1" x14ac:dyDescent="0.25">
      <c r="A148" s="449" t="s">
        <v>86</v>
      </c>
      <c r="B148" s="450" t="s">
        <v>87</v>
      </c>
      <c r="C148" s="17" t="s">
        <v>28</v>
      </c>
      <c r="D148" s="18">
        <f>D149+D150+D151+D152</f>
        <v>140119173.5</v>
      </c>
      <c r="E148" s="78">
        <f>E149+E150+E151+E152</f>
        <v>140085774.51999998</v>
      </c>
      <c r="F148" s="596">
        <f t="shared" si="28"/>
        <v>0.99976163875959478</v>
      </c>
      <c r="G148" s="450" t="s">
        <v>48</v>
      </c>
      <c r="H148" s="450" t="s">
        <v>49</v>
      </c>
      <c r="I148" s="449" t="s">
        <v>882</v>
      </c>
      <c r="J148" s="451"/>
      <c r="K148" s="451"/>
      <c r="L148" s="45"/>
      <c r="M148" s="45"/>
      <c r="N148" s="45"/>
      <c r="O148" s="45"/>
      <c r="P148" s="20"/>
      <c r="Q148" s="21"/>
      <c r="R148" s="21"/>
      <c r="S148" s="21"/>
      <c r="T148" s="21"/>
    </row>
    <row r="149" spans="1:20" ht="12" customHeight="1" x14ac:dyDescent="0.25">
      <c r="A149" s="449"/>
      <c r="B149" s="450"/>
      <c r="C149" s="172" t="s">
        <v>30</v>
      </c>
      <c r="D149" s="15">
        <f>'[6]табл.8 уточнение 2021 04.02. '!$H$157</f>
        <v>125018354.94</v>
      </c>
      <c r="E149" s="132">
        <f>'31 12 2021'!M64+'31 12 2021'!M65+'31 12 2021'!M66+'31 12 2021'!M67+'31 12 2021'!M68+'31 12 2021'!M69+'31 12 2021'!M70+'31 12 2021'!M91+'31 12 2021'!M92</f>
        <v>124989955.95999999</v>
      </c>
      <c r="F149" s="595">
        <f t="shared" si="28"/>
        <v>0.99977284151584278</v>
      </c>
      <c r="G149" s="450"/>
      <c r="H149" s="450"/>
      <c r="I149" s="449"/>
      <c r="J149" s="451"/>
      <c r="K149" s="451"/>
      <c r="P149" s="7"/>
    </row>
    <row r="150" spans="1:20" ht="12" customHeight="1" x14ac:dyDescent="0.25">
      <c r="A150" s="449"/>
      <c r="B150" s="450"/>
      <c r="C150" s="172" t="s">
        <v>32</v>
      </c>
      <c r="D150" s="15">
        <f>'[3]табл.8 11.10.21'!F145</f>
        <v>0</v>
      </c>
      <c r="E150" s="80">
        <v>0</v>
      </c>
      <c r="F150" s="595">
        <v>0</v>
      </c>
      <c r="G150" s="450"/>
      <c r="H150" s="450"/>
      <c r="I150" s="449"/>
      <c r="J150" s="451"/>
      <c r="K150" s="451"/>
    </row>
    <row r="151" spans="1:20" ht="12" customHeight="1" x14ac:dyDescent="0.25">
      <c r="A151" s="449"/>
      <c r="B151" s="450"/>
      <c r="C151" s="172" t="s">
        <v>34</v>
      </c>
      <c r="D151" s="15">
        <f>'[3]табл.8 11.10.21'!G145</f>
        <v>0</v>
      </c>
      <c r="E151" s="80">
        <v>0</v>
      </c>
      <c r="F151" s="595">
        <v>0</v>
      </c>
      <c r="G151" s="450"/>
      <c r="H151" s="450"/>
      <c r="I151" s="449"/>
      <c r="J151" s="451"/>
      <c r="K151" s="451"/>
    </row>
    <row r="152" spans="1:20" ht="12" customHeight="1" x14ac:dyDescent="0.25">
      <c r="A152" s="449"/>
      <c r="B152" s="450"/>
      <c r="C152" s="172" t="s">
        <v>36</v>
      </c>
      <c r="D152" s="15">
        <f>'[6]табл.8 уточнение 2021 04.02. '!$I$157</f>
        <v>15100818.560000001</v>
      </c>
      <c r="E152" s="132">
        <f>'[7]МП Образование ВБС 01.01.2021'!$E$75</f>
        <v>15095818.560000001</v>
      </c>
      <c r="F152" s="595">
        <f t="shared" si="28"/>
        <v>0.99966889212130228</v>
      </c>
      <c r="G152" s="450"/>
      <c r="H152" s="450"/>
      <c r="I152" s="449"/>
      <c r="J152" s="451"/>
      <c r="K152" s="451"/>
    </row>
    <row r="153" spans="1:20" s="22" customFormat="1" ht="12" customHeight="1" x14ac:dyDescent="0.25">
      <c r="A153" s="449" t="s">
        <v>88</v>
      </c>
      <c r="B153" s="450" t="s">
        <v>89</v>
      </c>
      <c r="C153" s="17" t="s">
        <v>28</v>
      </c>
      <c r="D153" s="18">
        <f>D154+D155+D156+D157</f>
        <v>20960044.690000001</v>
      </c>
      <c r="E153" s="78">
        <f>E154+E155+E156+E157</f>
        <v>20960044.690000001</v>
      </c>
      <c r="F153" s="596">
        <f t="shared" si="28"/>
        <v>1</v>
      </c>
      <c r="G153" s="450" t="s">
        <v>48</v>
      </c>
      <c r="H153" s="450" t="s">
        <v>49</v>
      </c>
      <c r="I153" s="449" t="s">
        <v>882</v>
      </c>
      <c r="J153" s="451"/>
      <c r="K153" s="451"/>
      <c r="L153" s="45"/>
      <c r="M153" s="45"/>
      <c r="N153" s="45"/>
      <c r="O153" s="45"/>
      <c r="P153" s="20"/>
      <c r="Q153" s="21"/>
      <c r="R153" s="21"/>
      <c r="S153" s="21"/>
      <c r="T153" s="21"/>
    </row>
    <row r="154" spans="1:20" ht="12" customHeight="1" x14ac:dyDescent="0.25">
      <c r="A154" s="449"/>
      <c r="B154" s="450"/>
      <c r="C154" s="172" t="s">
        <v>30</v>
      </c>
      <c r="D154" s="15">
        <f>'[6]табл.8 уточнение 2021 04.02. '!$H$163</f>
        <v>7789382.8800000008</v>
      </c>
      <c r="E154" s="132">
        <f>'31 12 2021'!Q74+'31 12 2021'!Q75+'31 12 2021'!Q76+'31 12 2021'!Q77</f>
        <v>7789382.8800000008</v>
      </c>
      <c r="F154" s="595">
        <f t="shared" si="28"/>
        <v>1</v>
      </c>
      <c r="G154" s="450"/>
      <c r="H154" s="450"/>
      <c r="I154" s="449"/>
      <c r="J154" s="451"/>
      <c r="K154" s="451"/>
      <c r="P154" s="12"/>
      <c r="S154" s="7">
        <f>E154+E159</f>
        <v>106905243.24000001</v>
      </c>
    </row>
    <row r="155" spans="1:20" ht="12" customHeight="1" x14ac:dyDescent="0.25">
      <c r="A155" s="449"/>
      <c r="B155" s="450"/>
      <c r="C155" s="172" t="s">
        <v>32</v>
      </c>
      <c r="D155" s="15">
        <f>'[6]табл.8 уточнение 2021 04.02. '!$F$163</f>
        <v>13170661.810000001</v>
      </c>
      <c r="E155" s="132">
        <f>'31 12 2021'!Q72+'31 12 2021'!Q73</f>
        <v>13170661.810000001</v>
      </c>
      <c r="F155" s="595">
        <f t="shared" si="28"/>
        <v>1</v>
      </c>
      <c r="G155" s="450"/>
      <c r="H155" s="450"/>
      <c r="I155" s="449"/>
      <c r="J155" s="451"/>
      <c r="K155" s="451"/>
      <c r="P155" s="12"/>
      <c r="S155" s="7">
        <f>E155+E160</f>
        <v>26922897.550000001</v>
      </c>
    </row>
    <row r="156" spans="1:20" ht="12" customHeight="1" x14ac:dyDescent="0.25">
      <c r="A156" s="449"/>
      <c r="B156" s="450"/>
      <c r="C156" s="172" t="s">
        <v>34</v>
      </c>
      <c r="D156" s="15">
        <f>'[3]табл.8 11.10.21'!G151</f>
        <v>0</v>
      </c>
      <c r="E156" s="80">
        <v>0</v>
      </c>
      <c r="F156" s="595">
        <v>0</v>
      </c>
      <c r="G156" s="450"/>
      <c r="H156" s="450"/>
      <c r="I156" s="449"/>
      <c r="J156" s="451"/>
      <c r="K156" s="451"/>
    </row>
    <row r="157" spans="1:20" ht="12" customHeight="1" x14ac:dyDescent="0.25">
      <c r="A157" s="449"/>
      <c r="B157" s="450"/>
      <c r="C157" s="172" t="s">
        <v>36</v>
      </c>
      <c r="D157" s="15">
        <f>'[3]табл.8 11.10.21'!I151</f>
        <v>0</v>
      </c>
      <c r="E157" s="80">
        <v>0</v>
      </c>
      <c r="F157" s="595">
        <v>0</v>
      </c>
      <c r="G157" s="450"/>
      <c r="H157" s="450"/>
      <c r="I157" s="449"/>
      <c r="J157" s="451"/>
      <c r="K157" s="451"/>
    </row>
    <row r="158" spans="1:20" s="22" customFormat="1" ht="19.5" customHeight="1" x14ac:dyDescent="0.25">
      <c r="A158" s="449" t="s">
        <v>90</v>
      </c>
      <c r="B158" s="450" t="s">
        <v>91</v>
      </c>
      <c r="C158" s="17" t="s">
        <v>28</v>
      </c>
      <c r="D158" s="18">
        <f>D159+D160+D161+D162</f>
        <v>112868096.10000001</v>
      </c>
      <c r="E158" s="78">
        <f>E159+E160+E161+E162</f>
        <v>112868096.10000001</v>
      </c>
      <c r="F158" s="596">
        <f t="shared" si="28"/>
        <v>1</v>
      </c>
      <c r="G158" s="450" t="s">
        <v>48</v>
      </c>
      <c r="H158" s="450" t="s">
        <v>49</v>
      </c>
      <c r="I158" s="449" t="s">
        <v>882</v>
      </c>
      <c r="J158" s="451"/>
      <c r="K158" s="451"/>
      <c r="L158" s="12"/>
      <c r="M158" s="45"/>
      <c r="N158" s="45"/>
      <c r="O158" s="45"/>
      <c r="P158" s="20"/>
      <c r="Q158" s="21"/>
      <c r="R158" s="21"/>
      <c r="S158" s="21"/>
      <c r="T158" s="21"/>
    </row>
    <row r="159" spans="1:20" ht="12" customHeight="1" x14ac:dyDescent="0.25">
      <c r="A159" s="449"/>
      <c r="B159" s="450"/>
      <c r="C159" s="172" t="s">
        <v>30</v>
      </c>
      <c r="D159" s="15">
        <f>'[6]табл.8 уточнение 2021 04.02. '!$H$169</f>
        <v>99115860.360000014</v>
      </c>
      <c r="E159" s="132">
        <f>'31 12 2021'!P74+'31 12 2021'!P75+'31 12 2021'!P76+'31 12 2021'!P77</f>
        <v>99115860.360000014</v>
      </c>
      <c r="F159" s="595">
        <f t="shared" si="28"/>
        <v>1</v>
      </c>
      <c r="G159" s="450"/>
      <c r="H159" s="450"/>
      <c r="I159" s="449"/>
      <c r="J159" s="451"/>
      <c r="K159" s="451"/>
    </row>
    <row r="160" spans="1:20" ht="12" customHeight="1" x14ac:dyDescent="0.25">
      <c r="A160" s="449"/>
      <c r="B160" s="450"/>
      <c r="C160" s="172" t="s">
        <v>32</v>
      </c>
      <c r="D160" s="15">
        <f>'[6]табл.8 уточнение 2021 04.02. '!$F$169</f>
        <v>13752235.74</v>
      </c>
      <c r="E160" s="132">
        <f>'31 12 2021'!P72+'31 12 2021'!P73</f>
        <v>13752235.74</v>
      </c>
      <c r="F160" s="595">
        <f t="shared" si="28"/>
        <v>1</v>
      </c>
      <c r="G160" s="450"/>
      <c r="H160" s="450"/>
      <c r="I160" s="449"/>
      <c r="J160" s="451"/>
      <c r="K160" s="451"/>
    </row>
    <row r="161" spans="1:20" ht="12" customHeight="1" x14ac:dyDescent="0.25">
      <c r="A161" s="449"/>
      <c r="B161" s="450"/>
      <c r="C161" s="172" t="s">
        <v>34</v>
      </c>
      <c r="D161" s="15">
        <f>'[3]табл.8 11.10.21'!G157</f>
        <v>0</v>
      </c>
      <c r="E161" s="80">
        <v>0</v>
      </c>
      <c r="F161" s="595">
        <v>0</v>
      </c>
      <c r="G161" s="450"/>
      <c r="H161" s="450"/>
      <c r="I161" s="449"/>
      <c r="J161" s="451"/>
      <c r="K161" s="451"/>
    </row>
    <row r="162" spans="1:20" ht="12" customHeight="1" x14ac:dyDescent="0.25">
      <c r="A162" s="449"/>
      <c r="B162" s="450"/>
      <c r="C162" s="172" t="s">
        <v>36</v>
      </c>
      <c r="D162" s="15">
        <f>'[3]табл.8 11.10.21'!I157</f>
        <v>0</v>
      </c>
      <c r="E162" s="80">
        <v>0</v>
      </c>
      <c r="F162" s="595">
        <v>0</v>
      </c>
      <c r="G162" s="450"/>
      <c r="H162" s="450"/>
      <c r="I162" s="449"/>
      <c r="J162" s="451"/>
      <c r="K162" s="451"/>
    </row>
    <row r="163" spans="1:20" s="22" customFormat="1" ht="12" customHeight="1" x14ac:dyDescent="0.25">
      <c r="A163" s="449" t="s">
        <v>92</v>
      </c>
      <c r="B163" s="450" t="s">
        <v>93</v>
      </c>
      <c r="C163" s="17" t="s">
        <v>28</v>
      </c>
      <c r="D163" s="18">
        <f>D164+D165+D166+D167</f>
        <v>12815477.560000001</v>
      </c>
      <c r="E163" s="78">
        <f>E164+E165+E166+E167</f>
        <v>12815477.560000001</v>
      </c>
      <c r="F163" s="596">
        <f t="shared" si="28"/>
        <v>1</v>
      </c>
      <c r="G163" s="450" t="s">
        <v>48</v>
      </c>
      <c r="H163" s="450" t="s">
        <v>49</v>
      </c>
      <c r="I163" s="449" t="s">
        <v>882</v>
      </c>
      <c r="J163" s="451"/>
      <c r="K163" s="451"/>
      <c r="L163" s="45"/>
      <c r="M163" s="45"/>
      <c r="N163" s="45"/>
      <c r="O163" s="45"/>
      <c r="P163" s="20"/>
      <c r="Q163" s="21"/>
      <c r="R163" s="21"/>
      <c r="S163" s="21"/>
      <c r="T163" s="21"/>
    </row>
    <row r="164" spans="1:20" ht="12" customHeight="1" x14ac:dyDescent="0.25">
      <c r="A164" s="449"/>
      <c r="B164" s="450"/>
      <c r="C164" s="172" t="s">
        <v>30</v>
      </c>
      <c r="D164" s="15">
        <f>'[6]табл.8 уточнение 2021 04.02. '!$H$175</f>
        <v>12815477.560000001</v>
      </c>
      <c r="E164" s="132">
        <f>'31 12 2021'!M71-E169</f>
        <v>12815477.560000001</v>
      </c>
      <c r="F164" s="595">
        <f t="shared" si="28"/>
        <v>1</v>
      </c>
      <c r="G164" s="450"/>
      <c r="H164" s="450"/>
      <c r="I164" s="449"/>
      <c r="J164" s="451"/>
      <c r="K164" s="451"/>
      <c r="P164" s="7"/>
    </row>
    <row r="165" spans="1:20" ht="12" customHeight="1" x14ac:dyDescent="0.25">
      <c r="A165" s="449"/>
      <c r="B165" s="450"/>
      <c r="C165" s="172" t="s">
        <v>32</v>
      </c>
      <c r="D165" s="15">
        <f>'[3]табл.8 11.10.21'!F163</f>
        <v>0</v>
      </c>
      <c r="E165" s="80">
        <v>0</v>
      </c>
      <c r="F165" s="595">
        <v>0</v>
      </c>
      <c r="G165" s="450"/>
      <c r="H165" s="450"/>
      <c r="I165" s="449"/>
      <c r="J165" s="451"/>
      <c r="K165" s="451"/>
    </row>
    <row r="166" spans="1:20" ht="12" customHeight="1" x14ac:dyDescent="0.25">
      <c r="A166" s="449"/>
      <c r="B166" s="450"/>
      <c r="C166" s="172" t="s">
        <v>34</v>
      </c>
      <c r="D166" s="15">
        <f>'[3]табл.8 11.10.21'!G163</f>
        <v>0</v>
      </c>
      <c r="E166" s="80">
        <v>0</v>
      </c>
      <c r="F166" s="595">
        <v>0</v>
      </c>
      <c r="G166" s="450"/>
      <c r="H166" s="450"/>
      <c r="I166" s="449"/>
      <c r="J166" s="451"/>
      <c r="K166" s="451"/>
    </row>
    <row r="167" spans="1:20" ht="12" customHeight="1" x14ac:dyDescent="0.25">
      <c r="A167" s="449"/>
      <c r="B167" s="450"/>
      <c r="C167" s="172" t="s">
        <v>36</v>
      </c>
      <c r="D167" s="15">
        <f>'[3]табл.8 11.10.21'!I163</f>
        <v>0</v>
      </c>
      <c r="E167" s="80">
        <v>0</v>
      </c>
      <c r="F167" s="595">
        <v>0</v>
      </c>
      <c r="G167" s="450"/>
      <c r="H167" s="450"/>
      <c r="I167" s="449"/>
      <c r="J167" s="451"/>
      <c r="K167" s="451"/>
    </row>
    <row r="168" spans="1:20" s="22" customFormat="1" ht="15" customHeight="1" x14ac:dyDescent="0.25">
      <c r="A168" s="449" t="s">
        <v>94</v>
      </c>
      <c r="B168" s="450" t="s">
        <v>95</v>
      </c>
      <c r="C168" s="17" t="s">
        <v>28</v>
      </c>
      <c r="D168" s="18">
        <f>D169+D170+D171+D172</f>
        <v>226859.84</v>
      </c>
      <c r="E168" s="78">
        <f>E169+E170+E171+E172</f>
        <v>226859.84</v>
      </c>
      <c r="F168" s="596">
        <f t="shared" si="28"/>
        <v>1</v>
      </c>
      <c r="G168" s="450" t="s">
        <v>48</v>
      </c>
      <c r="H168" s="450" t="s">
        <v>49</v>
      </c>
      <c r="I168" s="449" t="s">
        <v>882</v>
      </c>
      <c r="J168" s="451"/>
      <c r="K168" s="451"/>
      <c r="L168" s="45"/>
      <c r="M168" s="45"/>
      <c r="N168" s="45"/>
      <c r="O168" s="45"/>
      <c r="P168" s="20"/>
      <c r="Q168" s="21"/>
      <c r="R168" s="21"/>
      <c r="S168" s="21"/>
      <c r="T168" s="21"/>
    </row>
    <row r="169" spans="1:20" ht="15" customHeight="1" x14ac:dyDescent="0.25">
      <c r="A169" s="449"/>
      <c r="B169" s="450"/>
      <c r="C169" s="172" t="s">
        <v>30</v>
      </c>
      <c r="D169" s="15">
        <f>'[6]табл.8 уточнение 2021 04.02. '!$H$181</f>
        <v>226859.84</v>
      </c>
      <c r="E169" s="132">
        <f>D169</f>
        <v>226859.84</v>
      </c>
      <c r="F169" s="595">
        <f t="shared" si="28"/>
        <v>1</v>
      </c>
      <c r="G169" s="450"/>
      <c r="H169" s="450"/>
      <c r="I169" s="449"/>
      <c r="J169" s="451"/>
      <c r="K169" s="451"/>
    </row>
    <row r="170" spans="1:20" ht="15" customHeight="1" x14ac:dyDescent="0.25">
      <c r="A170" s="449"/>
      <c r="B170" s="450"/>
      <c r="C170" s="172" t="s">
        <v>32</v>
      </c>
      <c r="D170" s="15">
        <f>'[3]табл.8 11.10.21'!F169</f>
        <v>0</v>
      </c>
      <c r="E170" s="80">
        <v>0</v>
      </c>
      <c r="F170" s="595">
        <v>0</v>
      </c>
      <c r="G170" s="450"/>
      <c r="H170" s="450"/>
      <c r="I170" s="449"/>
      <c r="J170" s="451"/>
      <c r="K170" s="451"/>
    </row>
    <row r="171" spans="1:20" ht="15" customHeight="1" x14ac:dyDescent="0.25">
      <c r="A171" s="449"/>
      <c r="B171" s="450"/>
      <c r="C171" s="172" t="s">
        <v>34</v>
      </c>
      <c r="D171" s="15">
        <f>'[3]табл.8 11.10.21'!G169</f>
        <v>0</v>
      </c>
      <c r="E171" s="80">
        <v>0</v>
      </c>
      <c r="F171" s="595">
        <v>0</v>
      </c>
      <c r="G171" s="450"/>
      <c r="H171" s="450"/>
      <c r="I171" s="449"/>
      <c r="J171" s="451"/>
      <c r="K171" s="451"/>
    </row>
    <row r="172" spans="1:20" ht="15" customHeight="1" x14ac:dyDescent="0.25">
      <c r="A172" s="449"/>
      <c r="B172" s="450"/>
      <c r="C172" s="172" t="s">
        <v>36</v>
      </c>
      <c r="D172" s="15">
        <f>'[3]табл.8 11.10.21'!I169</f>
        <v>0</v>
      </c>
      <c r="E172" s="80">
        <v>0</v>
      </c>
      <c r="F172" s="595">
        <v>0</v>
      </c>
      <c r="G172" s="450"/>
      <c r="H172" s="450"/>
      <c r="I172" s="449"/>
      <c r="J172" s="451"/>
      <c r="K172" s="451"/>
    </row>
    <row r="173" spans="1:20" s="76" customFormat="1" ht="12" customHeight="1" x14ac:dyDescent="0.25">
      <c r="A173" s="476" t="s">
        <v>96</v>
      </c>
      <c r="B173" s="477" t="s">
        <v>97</v>
      </c>
      <c r="C173" s="239" t="s">
        <v>28</v>
      </c>
      <c r="D173" s="72">
        <f>D174+D175+D176+D177</f>
        <v>89951581.660000011</v>
      </c>
      <c r="E173" s="72">
        <f>E174+E175+E176+E177</f>
        <v>89988609.690000013</v>
      </c>
      <c r="F173" s="606">
        <f>E173/D173</f>
        <v>1.0004116440124418</v>
      </c>
      <c r="G173" s="478"/>
      <c r="H173" s="67" t="s">
        <v>39</v>
      </c>
      <c r="I173" s="65">
        <f>SUM(I174:I176)</f>
        <v>1</v>
      </c>
      <c r="J173" s="479" t="s">
        <v>878</v>
      </c>
      <c r="K173" s="479"/>
      <c r="L173" s="99"/>
      <c r="M173" s="99"/>
      <c r="N173" s="99"/>
      <c r="O173" s="99"/>
      <c r="P173" s="74"/>
      <c r="Q173" s="75"/>
      <c r="R173" s="75"/>
      <c r="S173" s="75"/>
      <c r="T173" s="75"/>
    </row>
    <row r="174" spans="1:20" s="76" customFormat="1" ht="12" customHeight="1" x14ac:dyDescent="0.25">
      <c r="A174" s="476"/>
      <c r="B174" s="477"/>
      <c r="C174" s="239" t="s">
        <v>30</v>
      </c>
      <c r="D174" s="72">
        <f>D179+D184+D189+D194+D199</f>
        <v>75661355.13000001</v>
      </c>
      <c r="E174" s="72">
        <f>E179+E184+E189+E194+E199</f>
        <v>75661355.13000001</v>
      </c>
      <c r="F174" s="606">
        <f t="shared" ref="F174:F189" si="30">E174/D174</f>
        <v>1</v>
      </c>
      <c r="G174" s="478"/>
      <c r="H174" s="73" t="s">
        <v>31</v>
      </c>
      <c r="I174" s="239">
        <v>1</v>
      </c>
      <c r="J174" s="479"/>
      <c r="K174" s="479"/>
      <c r="L174" s="99"/>
      <c r="M174" s="99"/>
      <c r="N174" s="99"/>
      <c r="O174" s="99"/>
      <c r="P174" s="74"/>
      <c r="Q174" s="75"/>
      <c r="R174" s="75"/>
      <c r="S174" s="75"/>
      <c r="T174" s="75"/>
    </row>
    <row r="175" spans="1:20" s="76" customFormat="1" ht="12" customHeight="1" x14ac:dyDescent="0.25">
      <c r="A175" s="476"/>
      <c r="B175" s="477"/>
      <c r="C175" s="239" t="s">
        <v>32</v>
      </c>
      <c r="D175" s="72">
        <f t="shared" ref="D175:E177" si="31">D180+D185+D190+D195+D200</f>
        <v>10807560.02</v>
      </c>
      <c r="E175" s="72">
        <f t="shared" si="31"/>
        <v>10807560.02</v>
      </c>
      <c r="F175" s="606">
        <f t="shared" si="30"/>
        <v>1</v>
      </c>
      <c r="G175" s="478"/>
      <c r="H175" s="73" t="s">
        <v>33</v>
      </c>
      <c r="I175" s="239">
        <v>0</v>
      </c>
      <c r="J175" s="479"/>
      <c r="K175" s="479"/>
      <c r="L175" s="99"/>
      <c r="M175" s="99"/>
      <c r="N175" s="99"/>
      <c r="O175" s="99"/>
      <c r="P175" s="74"/>
      <c r="Q175" s="75"/>
      <c r="R175" s="75"/>
      <c r="S175" s="75"/>
      <c r="T175" s="75"/>
    </row>
    <row r="176" spans="1:20" s="76" customFormat="1" ht="12" customHeight="1" x14ac:dyDescent="0.25">
      <c r="A176" s="476"/>
      <c r="B176" s="477"/>
      <c r="C176" s="239" t="s">
        <v>34</v>
      </c>
      <c r="D176" s="72">
        <f t="shared" si="31"/>
        <v>0</v>
      </c>
      <c r="E176" s="72">
        <f t="shared" si="31"/>
        <v>0</v>
      </c>
      <c r="F176" s="606">
        <v>0</v>
      </c>
      <c r="G176" s="478"/>
      <c r="H176" s="73" t="s">
        <v>35</v>
      </c>
      <c r="I176" s="239">
        <v>0</v>
      </c>
      <c r="J176" s="479"/>
      <c r="K176" s="479"/>
      <c r="L176" s="99"/>
      <c r="M176" s="99"/>
      <c r="N176" s="99"/>
      <c r="O176" s="99"/>
      <c r="P176" s="74"/>
      <c r="Q176" s="75"/>
      <c r="R176" s="75"/>
      <c r="S176" s="75"/>
      <c r="T176" s="75"/>
    </row>
    <row r="177" spans="1:20" s="76" customFormat="1" ht="12" customHeight="1" x14ac:dyDescent="0.25">
      <c r="A177" s="476"/>
      <c r="B177" s="477"/>
      <c r="C177" s="239" t="s">
        <v>36</v>
      </c>
      <c r="D177" s="72">
        <f t="shared" si="31"/>
        <v>3482666.51</v>
      </c>
      <c r="E177" s="72">
        <f t="shared" si="31"/>
        <v>3519694.54</v>
      </c>
      <c r="F177" s="606">
        <f t="shared" si="30"/>
        <v>1.0106320917876228</v>
      </c>
      <c r="G177" s="478"/>
      <c r="H177" s="73" t="s">
        <v>37</v>
      </c>
      <c r="I177" s="635">
        <f>(I34+0.5*I35)/I33*100%</f>
        <v>1</v>
      </c>
      <c r="J177" s="479"/>
      <c r="K177" s="479"/>
      <c r="L177" s="99"/>
      <c r="M177" s="99"/>
      <c r="N177" s="99"/>
      <c r="O177" s="99"/>
      <c r="P177" s="74"/>
      <c r="Q177" s="75"/>
      <c r="R177" s="75"/>
      <c r="S177" s="75"/>
      <c r="T177" s="75"/>
    </row>
    <row r="178" spans="1:20" s="22" customFormat="1" ht="12" customHeight="1" x14ac:dyDescent="0.25">
      <c r="A178" s="538" t="s">
        <v>98</v>
      </c>
      <c r="B178" s="539" t="s">
        <v>99</v>
      </c>
      <c r="C178" s="330" t="s">
        <v>28</v>
      </c>
      <c r="D178" s="331">
        <f>D179+D180+D181+D182</f>
        <v>29332070.230000004</v>
      </c>
      <c r="E178" s="331">
        <f>E179+E180+E181+E182</f>
        <v>29369098.260000002</v>
      </c>
      <c r="F178" s="607">
        <f t="shared" si="30"/>
        <v>1.0012623735627812</v>
      </c>
      <c r="G178" s="450" t="s">
        <v>48</v>
      </c>
      <c r="H178" s="450" t="s">
        <v>49</v>
      </c>
      <c r="I178" s="449" t="s">
        <v>882</v>
      </c>
      <c r="J178" s="451"/>
      <c r="K178" s="451"/>
      <c r="L178" s="45"/>
      <c r="M178" s="45"/>
      <c r="N178" s="45"/>
      <c r="O178" s="45"/>
      <c r="P178" s="20"/>
      <c r="Q178" s="21"/>
      <c r="R178" s="21"/>
      <c r="S178" s="21"/>
      <c r="T178" s="21"/>
    </row>
    <row r="179" spans="1:20" ht="12" customHeight="1" x14ac:dyDescent="0.25">
      <c r="A179" s="538"/>
      <c r="B179" s="539"/>
      <c r="C179" s="246" t="s">
        <v>30</v>
      </c>
      <c r="D179" s="132">
        <f>'[6]табл.8 уточнение 2021 04.02. '!$H$193</f>
        <v>25849403.720000003</v>
      </c>
      <c r="E179" s="132">
        <f>ЦСР!F54+ЦСР!F55+ЦСР!F56</f>
        <v>25849403.720000003</v>
      </c>
      <c r="F179" s="608">
        <f t="shared" si="30"/>
        <v>1</v>
      </c>
      <c r="G179" s="450"/>
      <c r="H179" s="450"/>
      <c r="I179" s="449"/>
      <c r="J179" s="451"/>
      <c r="K179" s="451"/>
    </row>
    <row r="180" spans="1:20" ht="12" customHeight="1" x14ac:dyDescent="0.25">
      <c r="A180" s="538"/>
      <c r="B180" s="539"/>
      <c r="C180" s="246" t="s">
        <v>32</v>
      </c>
      <c r="D180" s="132">
        <f>'[3]табл.8 11.10.21'!F181</f>
        <v>0</v>
      </c>
      <c r="E180" s="132">
        <v>0</v>
      </c>
      <c r="F180" s="608">
        <v>0</v>
      </c>
      <c r="G180" s="450"/>
      <c r="H180" s="450"/>
      <c r="I180" s="449"/>
      <c r="J180" s="451"/>
      <c r="K180" s="451"/>
    </row>
    <row r="181" spans="1:20" ht="12" customHeight="1" x14ac:dyDescent="0.25">
      <c r="A181" s="538"/>
      <c r="B181" s="539"/>
      <c r="C181" s="246" t="s">
        <v>34</v>
      </c>
      <c r="D181" s="132">
        <f>'[3]табл.8 11.10.21'!G181</f>
        <v>0</v>
      </c>
      <c r="E181" s="132">
        <v>0</v>
      </c>
      <c r="F181" s="608">
        <v>0</v>
      </c>
      <c r="G181" s="450"/>
      <c r="H181" s="450"/>
      <c r="I181" s="449"/>
      <c r="J181" s="451"/>
      <c r="K181" s="451"/>
    </row>
    <row r="182" spans="1:20" ht="12" customHeight="1" x14ac:dyDescent="0.25">
      <c r="A182" s="538"/>
      <c r="B182" s="539"/>
      <c r="C182" s="246" t="s">
        <v>36</v>
      </c>
      <c r="D182" s="132">
        <f>'[6]табл.8 уточнение 2021 04.02. '!$I$193</f>
        <v>3482666.51</v>
      </c>
      <c r="E182" s="132">
        <f>[8]Лист1!$E$9</f>
        <v>3519694.54</v>
      </c>
      <c r="F182" s="608">
        <f t="shared" si="30"/>
        <v>1.0106320917876228</v>
      </c>
      <c r="G182" s="450"/>
      <c r="H182" s="450"/>
      <c r="I182" s="449"/>
      <c r="J182" s="451"/>
      <c r="K182" s="451"/>
    </row>
    <row r="183" spans="1:20" s="22" customFormat="1" ht="18.75" customHeight="1" x14ac:dyDescent="0.25">
      <c r="A183" s="449" t="s">
        <v>100</v>
      </c>
      <c r="B183" s="450" t="s">
        <v>101</v>
      </c>
      <c r="C183" s="17" t="s">
        <v>28</v>
      </c>
      <c r="D183" s="78">
        <f>D184+D185+D186+D187</f>
        <v>57686151.600000009</v>
      </c>
      <c r="E183" s="78">
        <f>E184+E185+E186+E187</f>
        <v>57686151.600000009</v>
      </c>
      <c r="F183" s="596">
        <f t="shared" si="30"/>
        <v>1</v>
      </c>
      <c r="G183" s="450" t="s">
        <v>48</v>
      </c>
      <c r="H183" s="450" t="s">
        <v>49</v>
      </c>
      <c r="I183" s="449" t="s">
        <v>882</v>
      </c>
      <c r="J183" s="451"/>
      <c r="K183" s="451"/>
      <c r="L183" s="45"/>
      <c r="M183" s="45"/>
      <c r="N183" s="45"/>
      <c r="O183" s="45"/>
      <c r="P183" s="20"/>
      <c r="Q183" s="21"/>
      <c r="R183" s="21"/>
      <c r="S183" s="21"/>
      <c r="T183" s="21"/>
    </row>
    <row r="184" spans="1:20" ht="12" customHeight="1" x14ac:dyDescent="0.25">
      <c r="A184" s="449"/>
      <c r="B184" s="450"/>
      <c r="C184" s="172" t="s">
        <v>30</v>
      </c>
      <c r="D184" s="80">
        <f>'[6]табл.8 уточнение 2021 04.02. '!$H$199</f>
        <v>48666617.510000005</v>
      </c>
      <c r="E184" s="80">
        <f>ЦСР!F58+ЦСР!F59-E189</f>
        <v>48666617.510000005</v>
      </c>
      <c r="F184" s="595">
        <f t="shared" si="30"/>
        <v>1</v>
      </c>
      <c r="G184" s="450"/>
      <c r="H184" s="450"/>
      <c r="I184" s="449"/>
      <c r="J184" s="451"/>
      <c r="K184" s="451"/>
    </row>
    <row r="185" spans="1:20" ht="12" customHeight="1" x14ac:dyDescent="0.25">
      <c r="A185" s="449"/>
      <c r="B185" s="450"/>
      <c r="C185" s="172" t="s">
        <v>32</v>
      </c>
      <c r="D185" s="80">
        <f>'[6]табл.8 уточнение 2021 04.02. '!$F$199</f>
        <v>9019534.0899999999</v>
      </c>
      <c r="E185" s="80">
        <f>ЦСР!F57-E190</f>
        <v>9019534.0899999999</v>
      </c>
      <c r="F185" s="595">
        <f t="shared" si="30"/>
        <v>1</v>
      </c>
      <c r="G185" s="450"/>
      <c r="H185" s="450"/>
      <c r="I185" s="449"/>
      <c r="J185" s="451"/>
      <c r="K185" s="451"/>
    </row>
    <row r="186" spans="1:20" ht="12" customHeight="1" x14ac:dyDescent="0.25">
      <c r="A186" s="449"/>
      <c r="B186" s="450"/>
      <c r="C186" s="172" t="s">
        <v>34</v>
      </c>
      <c r="D186" s="80">
        <f>'[3]табл.8 11.10.21'!G187</f>
        <v>0</v>
      </c>
      <c r="E186" s="80">
        <v>0</v>
      </c>
      <c r="F186" s="595">
        <v>0</v>
      </c>
      <c r="G186" s="450"/>
      <c r="H186" s="450"/>
      <c r="I186" s="449"/>
      <c r="J186" s="451"/>
      <c r="K186" s="451"/>
    </row>
    <row r="187" spans="1:20" ht="12" customHeight="1" x14ac:dyDescent="0.25">
      <c r="A187" s="449"/>
      <c r="B187" s="450"/>
      <c r="C187" s="172" t="s">
        <v>36</v>
      </c>
      <c r="D187" s="80">
        <f>'[3]табл.8 11.10.21'!I187</f>
        <v>0</v>
      </c>
      <c r="E187" s="80">
        <v>0</v>
      </c>
      <c r="F187" s="595">
        <v>0</v>
      </c>
      <c r="G187" s="450"/>
      <c r="H187" s="450"/>
      <c r="I187" s="449"/>
      <c r="J187" s="451"/>
      <c r="K187" s="451"/>
    </row>
    <row r="188" spans="1:20" s="22" customFormat="1" ht="12" customHeight="1" x14ac:dyDescent="0.25">
      <c r="A188" s="449" t="s">
        <v>102</v>
      </c>
      <c r="B188" s="450" t="s">
        <v>103</v>
      </c>
      <c r="C188" s="17" t="s">
        <v>28</v>
      </c>
      <c r="D188" s="78">
        <f>D189+D190+D191+D192</f>
        <v>2933359.83</v>
      </c>
      <c r="E188" s="78">
        <f>E189+E190+E191+E192</f>
        <v>2933359.83</v>
      </c>
      <c r="F188" s="596">
        <f t="shared" si="30"/>
        <v>1</v>
      </c>
      <c r="G188" s="450" t="s">
        <v>48</v>
      </c>
      <c r="H188" s="450" t="s">
        <v>49</v>
      </c>
      <c r="I188" s="449" t="s">
        <v>882</v>
      </c>
      <c r="J188" s="451"/>
      <c r="K188" s="451"/>
      <c r="L188" s="45"/>
      <c r="M188" s="45"/>
      <c r="N188" s="45"/>
      <c r="O188" s="45"/>
      <c r="P188" s="20"/>
      <c r="Q188" s="21"/>
      <c r="R188" s="21"/>
      <c r="S188" s="21"/>
      <c r="T188" s="21"/>
    </row>
    <row r="189" spans="1:20" ht="12" customHeight="1" x14ac:dyDescent="0.25">
      <c r="A189" s="449"/>
      <c r="B189" s="450"/>
      <c r="C189" s="172" t="s">
        <v>30</v>
      </c>
      <c r="D189" s="80">
        <f>'[6]табл.8 уточнение 2021 04.02. '!$H$205</f>
        <v>1145333.8999999999</v>
      </c>
      <c r="E189" s="80">
        <f>D189</f>
        <v>1145333.8999999999</v>
      </c>
      <c r="F189" s="595">
        <f t="shared" si="30"/>
        <v>1</v>
      </c>
      <c r="G189" s="450"/>
      <c r="H189" s="450"/>
      <c r="I189" s="449"/>
      <c r="J189" s="451"/>
      <c r="K189" s="451"/>
    </row>
    <row r="190" spans="1:20" ht="12" customHeight="1" x14ac:dyDescent="0.25">
      <c r="A190" s="449"/>
      <c r="B190" s="450"/>
      <c r="C190" s="172" t="s">
        <v>32</v>
      </c>
      <c r="D190" s="80">
        <f>'[6]табл.8 уточнение 2021 04.02. '!$F$205</f>
        <v>1788025.93</v>
      </c>
      <c r="E190" s="80">
        <f>D190</f>
        <v>1788025.93</v>
      </c>
      <c r="F190" s="595">
        <v>0</v>
      </c>
      <c r="G190" s="450"/>
      <c r="H190" s="450"/>
      <c r="I190" s="449"/>
      <c r="J190" s="451"/>
      <c r="K190" s="451"/>
    </row>
    <row r="191" spans="1:20" ht="12" customHeight="1" x14ac:dyDescent="0.25">
      <c r="A191" s="449"/>
      <c r="B191" s="450"/>
      <c r="C191" s="172" t="s">
        <v>34</v>
      </c>
      <c r="D191" s="80">
        <f>'[3]табл.8 11.10.21'!G193</f>
        <v>0</v>
      </c>
      <c r="E191" s="80">
        <v>0</v>
      </c>
      <c r="F191" s="595">
        <v>0</v>
      </c>
      <c r="G191" s="450"/>
      <c r="H191" s="450"/>
      <c r="I191" s="449"/>
      <c r="J191" s="451"/>
      <c r="K191" s="451"/>
    </row>
    <row r="192" spans="1:20" ht="12" customHeight="1" x14ac:dyDescent="0.25">
      <c r="A192" s="449"/>
      <c r="B192" s="450"/>
      <c r="C192" s="172" t="s">
        <v>36</v>
      </c>
      <c r="D192" s="15">
        <f>'[3]табл.8 11.10.21'!I193</f>
        <v>0</v>
      </c>
      <c r="E192" s="80">
        <v>0</v>
      </c>
      <c r="F192" s="595">
        <v>0</v>
      </c>
      <c r="G192" s="450"/>
      <c r="H192" s="450"/>
      <c r="I192" s="449"/>
      <c r="J192" s="451"/>
      <c r="K192" s="451"/>
    </row>
    <row r="193" spans="1:20" s="22" customFormat="1" ht="12" customHeight="1" x14ac:dyDescent="0.25">
      <c r="A193" s="449" t="s">
        <v>104</v>
      </c>
      <c r="B193" s="450" t="s">
        <v>105</v>
      </c>
      <c r="C193" s="17" t="s">
        <v>28</v>
      </c>
      <c r="D193" s="18">
        <f>D194+D195+D196+D197</f>
        <v>0</v>
      </c>
      <c r="E193" s="78">
        <v>0</v>
      </c>
      <c r="F193" s="596">
        <v>0</v>
      </c>
      <c r="G193" s="450" t="s">
        <v>48</v>
      </c>
      <c r="H193" s="450" t="s">
        <v>49</v>
      </c>
      <c r="I193" s="449" t="s">
        <v>50</v>
      </c>
      <c r="J193" s="451"/>
      <c r="K193" s="451"/>
      <c r="L193" s="45"/>
      <c r="M193" s="45"/>
      <c r="N193" s="45"/>
      <c r="O193" s="45"/>
      <c r="P193" s="20"/>
      <c r="Q193" s="21"/>
      <c r="R193" s="21"/>
      <c r="S193" s="21"/>
      <c r="T193" s="21"/>
    </row>
    <row r="194" spans="1:20" ht="12" customHeight="1" x14ac:dyDescent="0.25">
      <c r="A194" s="449"/>
      <c r="B194" s="450"/>
      <c r="C194" s="172" t="s">
        <v>30</v>
      </c>
      <c r="D194" s="15">
        <f>'[3]табл.8 11.10.21'!H199</f>
        <v>0</v>
      </c>
      <c r="E194" s="80">
        <v>0</v>
      </c>
      <c r="F194" s="595">
        <v>0</v>
      </c>
      <c r="G194" s="450"/>
      <c r="H194" s="450"/>
      <c r="I194" s="449"/>
      <c r="J194" s="451"/>
      <c r="K194" s="451"/>
    </row>
    <row r="195" spans="1:20" ht="12" customHeight="1" x14ac:dyDescent="0.25">
      <c r="A195" s="449"/>
      <c r="B195" s="450"/>
      <c r="C195" s="172" t="s">
        <v>32</v>
      </c>
      <c r="D195" s="15">
        <f>'[3]табл.8 11.10.21'!F199</f>
        <v>0</v>
      </c>
      <c r="E195" s="80">
        <v>0</v>
      </c>
      <c r="F195" s="595">
        <v>0</v>
      </c>
      <c r="G195" s="450"/>
      <c r="H195" s="450"/>
      <c r="I195" s="449"/>
      <c r="J195" s="451"/>
      <c r="K195" s="451"/>
    </row>
    <row r="196" spans="1:20" ht="12" customHeight="1" x14ac:dyDescent="0.25">
      <c r="A196" s="449"/>
      <c r="B196" s="450"/>
      <c r="C196" s="172" t="s">
        <v>34</v>
      </c>
      <c r="D196" s="15">
        <f>'[3]табл.8 11.10.21'!G199</f>
        <v>0</v>
      </c>
      <c r="E196" s="80">
        <v>0</v>
      </c>
      <c r="F196" s="595">
        <v>0</v>
      </c>
      <c r="G196" s="450"/>
      <c r="H196" s="450"/>
      <c r="I196" s="449"/>
      <c r="J196" s="451"/>
      <c r="K196" s="451"/>
    </row>
    <row r="197" spans="1:20" ht="12" customHeight="1" x14ac:dyDescent="0.25">
      <c r="A197" s="449"/>
      <c r="B197" s="450"/>
      <c r="C197" s="172" t="s">
        <v>36</v>
      </c>
      <c r="D197" s="15">
        <f>'[3]табл.8 11.10.21'!I199</f>
        <v>0</v>
      </c>
      <c r="E197" s="80">
        <v>0</v>
      </c>
      <c r="F197" s="595">
        <v>0</v>
      </c>
      <c r="G197" s="450"/>
      <c r="H197" s="450"/>
      <c r="I197" s="449"/>
      <c r="J197" s="451"/>
      <c r="K197" s="451"/>
    </row>
    <row r="198" spans="1:20" s="22" customFormat="1" ht="12" customHeight="1" x14ac:dyDescent="0.25">
      <c r="A198" s="449" t="s">
        <v>106</v>
      </c>
      <c r="B198" s="450" t="s">
        <v>107</v>
      </c>
      <c r="C198" s="17" t="s">
        <v>28</v>
      </c>
      <c r="D198" s="18">
        <f>D199+D200+D201+D202</f>
        <v>0</v>
      </c>
      <c r="E198" s="78">
        <v>0</v>
      </c>
      <c r="F198" s="596">
        <v>0</v>
      </c>
      <c r="G198" s="450" t="s">
        <v>48</v>
      </c>
      <c r="H198" s="450" t="s">
        <v>49</v>
      </c>
      <c r="I198" s="449" t="s">
        <v>50</v>
      </c>
      <c r="J198" s="451"/>
      <c r="K198" s="451"/>
      <c r="L198" s="45"/>
      <c r="M198" s="45"/>
      <c r="N198" s="45"/>
      <c r="O198" s="45"/>
      <c r="P198" s="20"/>
      <c r="Q198" s="21"/>
      <c r="R198" s="21"/>
      <c r="S198" s="21"/>
      <c r="T198" s="21"/>
    </row>
    <row r="199" spans="1:20" ht="12" customHeight="1" x14ac:dyDescent="0.25">
      <c r="A199" s="449"/>
      <c r="B199" s="450"/>
      <c r="C199" s="172" t="s">
        <v>30</v>
      </c>
      <c r="D199" s="15">
        <f>'[3]табл.8 11.10.21'!H205</f>
        <v>0</v>
      </c>
      <c r="E199" s="80">
        <v>0</v>
      </c>
      <c r="F199" s="595">
        <v>0</v>
      </c>
      <c r="G199" s="450"/>
      <c r="H199" s="450"/>
      <c r="I199" s="449"/>
      <c r="J199" s="451"/>
      <c r="K199" s="451"/>
    </row>
    <row r="200" spans="1:20" ht="12" customHeight="1" x14ac:dyDescent="0.25">
      <c r="A200" s="449"/>
      <c r="B200" s="450"/>
      <c r="C200" s="172" t="s">
        <v>32</v>
      </c>
      <c r="D200" s="15">
        <f>'[3]табл.8 11.10.21'!F205</f>
        <v>0</v>
      </c>
      <c r="E200" s="80">
        <v>0</v>
      </c>
      <c r="F200" s="595">
        <v>0</v>
      </c>
      <c r="G200" s="450"/>
      <c r="H200" s="450"/>
      <c r="I200" s="449"/>
      <c r="J200" s="451"/>
      <c r="K200" s="451"/>
    </row>
    <row r="201" spans="1:20" ht="12" customHeight="1" x14ac:dyDescent="0.25">
      <c r="A201" s="449"/>
      <c r="B201" s="450"/>
      <c r="C201" s="172" t="s">
        <v>34</v>
      </c>
      <c r="D201" s="15">
        <f>'[3]табл.8 11.10.21'!G205</f>
        <v>0</v>
      </c>
      <c r="E201" s="80">
        <v>0</v>
      </c>
      <c r="F201" s="595">
        <v>0</v>
      </c>
      <c r="G201" s="450"/>
      <c r="H201" s="450"/>
      <c r="I201" s="449"/>
      <c r="J201" s="451"/>
      <c r="K201" s="451"/>
    </row>
    <row r="202" spans="1:20" ht="12" customHeight="1" x14ac:dyDescent="0.25">
      <c r="A202" s="449"/>
      <c r="B202" s="450"/>
      <c r="C202" s="172" t="s">
        <v>36</v>
      </c>
      <c r="D202" s="15">
        <f>'[3]табл.8 11.10.21'!I204</f>
        <v>0</v>
      </c>
      <c r="E202" s="80">
        <v>0</v>
      </c>
      <c r="F202" s="595">
        <v>0</v>
      </c>
      <c r="G202" s="450"/>
      <c r="H202" s="450"/>
      <c r="I202" s="449"/>
      <c r="J202" s="451"/>
      <c r="K202" s="451"/>
    </row>
    <row r="203" spans="1:20" s="70" customFormat="1" ht="12" customHeight="1" x14ac:dyDescent="0.25">
      <c r="A203" s="476" t="s">
        <v>108</v>
      </c>
      <c r="B203" s="477" t="s">
        <v>109</v>
      </c>
      <c r="C203" s="65" t="s">
        <v>28</v>
      </c>
      <c r="D203" s="66">
        <f>D204+D205+D206+D207</f>
        <v>7713801.1299999999</v>
      </c>
      <c r="E203" s="66">
        <f>E204+E205+E206+E207</f>
        <v>7713801.1299999999</v>
      </c>
      <c r="F203" s="609">
        <f>E203/D203</f>
        <v>1</v>
      </c>
      <c r="G203" s="478"/>
      <c r="H203" s="67" t="s">
        <v>39</v>
      </c>
      <c r="I203" s="65">
        <f>SUM(I204:I206)</f>
        <v>1</v>
      </c>
      <c r="J203" s="479" t="s">
        <v>878</v>
      </c>
      <c r="K203" s="479"/>
      <c r="L203" s="235"/>
      <c r="M203" s="235"/>
      <c r="N203" s="235"/>
      <c r="O203" s="235"/>
      <c r="P203" s="68"/>
      <c r="Q203" s="69"/>
      <c r="R203" s="69"/>
      <c r="S203" s="69"/>
      <c r="T203" s="69"/>
    </row>
    <row r="204" spans="1:20" s="76" customFormat="1" ht="12" customHeight="1" x14ac:dyDescent="0.25">
      <c r="A204" s="476"/>
      <c r="B204" s="477"/>
      <c r="C204" s="184" t="s">
        <v>30</v>
      </c>
      <c r="D204" s="72">
        <f>D209+D214+D219+D224</f>
        <v>7713801.1299999999</v>
      </c>
      <c r="E204" s="72">
        <f>E209+E214+E219+E224</f>
        <v>7713801.1299999999</v>
      </c>
      <c r="F204" s="606">
        <f t="shared" ref="F204:F224" si="32">E204/D204</f>
        <v>1</v>
      </c>
      <c r="G204" s="478"/>
      <c r="H204" s="73" t="s">
        <v>31</v>
      </c>
      <c r="I204" s="184">
        <v>1</v>
      </c>
      <c r="J204" s="479"/>
      <c r="K204" s="479"/>
      <c r="L204" s="99"/>
      <c r="M204" s="99"/>
      <c r="N204" s="99"/>
      <c r="O204" s="99"/>
      <c r="P204" s="74"/>
      <c r="Q204" s="75"/>
      <c r="R204" s="75"/>
      <c r="S204" s="75"/>
      <c r="T204" s="75"/>
    </row>
    <row r="205" spans="1:20" s="76" customFormat="1" ht="12" customHeight="1" x14ac:dyDescent="0.25">
      <c r="A205" s="476"/>
      <c r="B205" s="477"/>
      <c r="C205" s="184" t="s">
        <v>32</v>
      </c>
      <c r="D205" s="72">
        <f t="shared" ref="D205:E207" si="33">D210+D215+D220+D225</f>
        <v>0</v>
      </c>
      <c r="E205" s="72">
        <f t="shared" si="33"/>
        <v>0</v>
      </c>
      <c r="F205" s="606">
        <v>0</v>
      </c>
      <c r="G205" s="478"/>
      <c r="H205" s="73" t="s">
        <v>33</v>
      </c>
      <c r="I205" s="184">
        <v>0</v>
      </c>
      <c r="J205" s="479"/>
      <c r="K205" s="479"/>
      <c r="L205" s="99"/>
      <c r="M205" s="99"/>
      <c r="N205" s="99"/>
      <c r="O205" s="99"/>
      <c r="P205" s="74"/>
      <c r="Q205" s="75"/>
      <c r="R205" s="75"/>
      <c r="S205" s="75"/>
      <c r="T205" s="75"/>
    </row>
    <row r="206" spans="1:20" s="76" customFormat="1" ht="12" customHeight="1" x14ac:dyDescent="0.25">
      <c r="A206" s="476"/>
      <c r="B206" s="477"/>
      <c r="C206" s="184" t="s">
        <v>34</v>
      </c>
      <c r="D206" s="72">
        <f t="shared" si="33"/>
        <v>0</v>
      </c>
      <c r="E206" s="72">
        <f t="shared" si="33"/>
        <v>0</v>
      </c>
      <c r="F206" s="606">
        <v>0</v>
      </c>
      <c r="G206" s="478"/>
      <c r="H206" s="73" t="s">
        <v>35</v>
      </c>
      <c r="I206" s="184">
        <v>0</v>
      </c>
      <c r="J206" s="479"/>
      <c r="K206" s="479"/>
      <c r="L206" s="99"/>
      <c r="M206" s="99"/>
      <c r="N206" s="99"/>
      <c r="O206" s="99"/>
      <c r="P206" s="74"/>
      <c r="Q206" s="75"/>
      <c r="R206" s="75"/>
      <c r="S206" s="75"/>
      <c r="T206" s="75"/>
    </row>
    <row r="207" spans="1:20" s="76" customFormat="1" ht="12" customHeight="1" x14ac:dyDescent="0.25">
      <c r="A207" s="476"/>
      <c r="B207" s="477"/>
      <c r="C207" s="184" t="s">
        <v>36</v>
      </c>
      <c r="D207" s="72">
        <f t="shared" si="33"/>
        <v>0</v>
      </c>
      <c r="E207" s="72">
        <f t="shared" si="33"/>
        <v>0</v>
      </c>
      <c r="F207" s="606">
        <v>0</v>
      </c>
      <c r="G207" s="478"/>
      <c r="H207" s="73" t="s">
        <v>37</v>
      </c>
      <c r="I207" s="635">
        <f>(I34+0.5*I35)/I33*100%</f>
        <v>1</v>
      </c>
      <c r="J207" s="479"/>
      <c r="K207" s="479"/>
      <c r="L207" s="99"/>
      <c r="M207" s="99"/>
      <c r="N207" s="99"/>
      <c r="O207" s="99"/>
      <c r="P207" s="74"/>
      <c r="Q207" s="75"/>
      <c r="R207" s="75"/>
      <c r="S207" s="75"/>
      <c r="T207" s="75"/>
    </row>
    <row r="208" spans="1:20" s="70" customFormat="1" ht="12" customHeight="1" x14ac:dyDescent="0.25">
      <c r="A208" s="440" t="s">
        <v>110</v>
      </c>
      <c r="B208" s="441" t="s">
        <v>111</v>
      </c>
      <c r="C208" s="77" t="s">
        <v>28</v>
      </c>
      <c r="D208" s="78">
        <f>D209+D210+D211+D212</f>
        <v>0</v>
      </c>
      <c r="E208" s="78">
        <f>E209+E210+E211+E212</f>
        <v>0</v>
      </c>
      <c r="F208" s="610">
        <v>0</v>
      </c>
      <c r="G208" s="441" t="s">
        <v>48</v>
      </c>
      <c r="H208" s="441" t="s">
        <v>49</v>
      </c>
      <c r="I208" s="440" t="s">
        <v>50</v>
      </c>
      <c r="J208" s="434"/>
      <c r="K208" s="434"/>
      <c r="L208" s="235"/>
      <c r="M208" s="235"/>
      <c r="N208" s="235"/>
      <c r="O208" s="235"/>
      <c r="P208" s="68"/>
      <c r="Q208" s="69"/>
      <c r="R208" s="69"/>
      <c r="S208" s="69"/>
      <c r="T208" s="69"/>
    </row>
    <row r="209" spans="1:20" s="76" customFormat="1" ht="12" customHeight="1" x14ac:dyDescent="0.25">
      <c r="A209" s="440"/>
      <c r="B209" s="441"/>
      <c r="C209" s="185" t="s">
        <v>30</v>
      </c>
      <c r="D209" s="80">
        <f>'[6]табл.8 уточнение 2021 04.02. '!$H$229</f>
        <v>0</v>
      </c>
      <c r="E209" s="80">
        <v>0</v>
      </c>
      <c r="F209" s="611">
        <v>0</v>
      </c>
      <c r="G209" s="441"/>
      <c r="H209" s="441"/>
      <c r="I209" s="440"/>
      <c r="J209" s="434"/>
      <c r="K209" s="434"/>
      <c r="L209" s="99"/>
      <c r="M209" s="99"/>
      <c r="N209" s="99"/>
      <c r="O209" s="99"/>
      <c r="P209" s="74"/>
      <c r="Q209" s="75"/>
      <c r="R209" s="75"/>
      <c r="S209" s="75"/>
      <c r="T209" s="75"/>
    </row>
    <row r="210" spans="1:20" s="76" customFormat="1" ht="12" customHeight="1" x14ac:dyDescent="0.25">
      <c r="A210" s="440"/>
      <c r="B210" s="441"/>
      <c r="C210" s="185" t="s">
        <v>32</v>
      </c>
      <c r="D210" s="80">
        <v>0</v>
      </c>
      <c r="E210" s="80">
        <v>0</v>
      </c>
      <c r="F210" s="611">
        <v>0</v>
      </c>
      <c r="G210" s="441"/>
      <c r="H210" s="441"/>
      <c r="I210" s="440"/>
      <c r="J210" s="434"/>
      <c r="K210" s="434"/>
      <c r="L210" s="99"/>
      <c r="M210" s="99"/>
      <c r="N210" s="99"/>
      <c r="O210" s="99"/>
      <c r="P210" s="74"/>
      <c r="Q210" s="75"/>
      <c r="R210" s="75"/>
      <c r="S210" s="75"/>
      <c r="T210" s="75"/>
    </row>
    <row r="211" spans="1:20" s="76" customFormat="1" ht="12" customHeight="1" x14ac:dyDescent="0.25">
      <c r="A211" s="440"/>
      <c r="B211" s="441"/>
      <c r="C211" s="185" t="s">
        <v>34</v>
      </c>
      <c r="D211" s="80">
        <v>0</v>
      </c>
      <c r="E211" s="80">
        <v>0</v>
      </c>
      <c r="F211" s="611">
        <v>0</v>
      </c>
      <c r="G211" s="441"/>
      <c r="H211" s="441"/>
      <c r="I211" s="440"/>
      <c r="J211" s="434"/>
      <c r="K211" s="434"/>
      <c r="L211" s="99"/>
      <c r="M211" s="99"/>
      <c r="N211" s="99"/>
      <c r="O211" s="99"/>
      <c r="P211" s="74"/>
      <c r="Q211" s="75"/>
      <c r="R211" s="75"/>
      <c r="S211" s="75"/>
      <c r="T211" s="75"/>
    </row>
    <row r="212" spans="1:20" s="76" customFormat="1" ht="12" customHeight="1" x14ac:dyDescent="0.25">
      <c r="A212" s="440"/>
      <c r="B212" s="441"/>
      <c r="C212" s="185" t="s">
        <v>36</v>
      </c>
      <c r="D212" s="80">
        <v>0</v>
      </c>
      <c r="E212" s="80">
        <v>0</v>
      </c>
      <c r="F212" s="611">
        <v>0</v>
      </c>
      <c r="G212" s="441"/>
      <c r="H212" s="441"/>
      <c r="I212" s="440"/>
      <c r="J212" s="434"/>
      <c r="K212" s="434"/>
      <c r="L212" s="99"/>
      <c r="M212" s="99"/>
      <c r="N212" s="99"/>
      <c r="O212" s="99"/>
      <c r="P212" s="74"/>
      <c r="Q212" s="75"/>
      <c r="R212" s="75"/>
      <c r="S212" s="75"/>
      <c r="T212" s="75"/>
    </row>
    <row r="213" spans="1:20" s="70" customFormat="1" ht="12.75" customHeight="1" x14ac:dyDescent="0.25">
      <c r="A213" s="440" t="s">
        <v>112</v>
      </c>
      <c r="B213" s="441" t="s">
        <v>113</v>
      </c>
      <c r="C213" s="77" t="s">
        <v>28</v>
      </c>
      <c r="D213" s="78">
        <f>D214+D215+D216+D217</f>
        <v>1190000</v>
      </c>
      <c r="E213" s="78">
        <f>E214+E215+E216+E217</f>
        <v>1190000</v>
      </c>
      <c r="F213" s="610">
        <v>0</v>
      </c>
      <c r="G213" s="441" t="s">
        <v>48</v>
      </c>
      <c r="H213" s="441" t="s">
        <v>49</v>
      </c>
      <c r="I213" s="440" t="s">
        <v>882</v>
      </c>
      <c r="J213" s="434"/>
      <c r="K213" s="434"/>
      <c r="L213" s="235"/>
      <c r="M213" s="235"/>
      <c r="N213" s="235"/>
      <c r="O213" s="235"/>
      <c r="P213" s="68"/>
      <c r="Q213" s="69"/>
      <c r="R213" s="69"/>
      <c r="S213" s="69"/>
      <c r="T213" s="69"/>
    </row>
    <row r="214" spans="1:20" s="76" customFormat="1" ht="12" customHeight="1" x14ac:dyDescent="0.25">
      <c r="A214" s="440"/>
      <c r="B214" s="441"/>
      <c r="C214" s="185" t="s">
        <v>30</v>
      </c>
      <c r="D214" s="80">
        <f>'[6]табл.8 уточнение 2021 04.02. '!$H$235</f>
        <v>1190000</v>
      </c>
      <c r="E214" s="80">
        <f>'31 12 2021'!M78+'31 12 2021'!M79</f>
        <v>1190000</v>
      </c>
      <c r="F214" s="611">
        <f>E214/D214</f>
        <v>1</v>
      </c>
      <c r="G214" s="441"/>
      <c r="H214" s="441"/>
      <c r="I214" s="440"/>
      <c r="J214" s="434"/>
      <c r="K214" s="434"/>
      <c r="L214" s="99"/>
      <c r="M214" s="99"/>
      <c r="N214" s="99"/>
      <c r="O214" s="99"/>
      <c r="P214" s="74"/>
      <c r="Q214" s="75"/>
      <c r="R214" s="75"/>
      <c r="S214" s="75"/>
      <c r="T214" s="75"/>
    </row>
    <row r="215" spans="1:20" s="76" customFormat="1" ht="12" customHeight="1" x14ac:dyDescent="0.25">
      <c r="A215" s="440"/>
      <c r="B215" s="441"/>
      <c r="C215" s="185" t="s">
        <v>32</v>
      </c>
      <c r="D215" s="80">
        <f>'[3]табл.8 11.10.21'!F223</f>
        <v>0</v>
      </c>
      <c r="E215" s="80">
        <v>0</v>
      </c>
      <c r="F215" s="611">
        <v>0</v>
      </c>
      <c r="G215" s="441"/>
      <c r="H215" s="441"/>
      <c r="I215" s="440"/>
      <c r="J215" s="434"/>
      <c r="K215" s="434"/>
      <c r="L215" s="99"/>
      <c r="M215" s="99"/>
      <c r="N215" s="99"/>
      <c r="O215" s="99"/>
      <c r="P215" s="74"/>
      <c r="Q215" s="75"/>
      <c r="R215" s="75"/>
      <c r="S215" s="75"/>
      <c r="T215" s="75"/>
    </row>
    <row r="216" spans="1:20" s="76" customFormat="1" ht="12" customHeight="1" x14ac:dyDescent="0.25">
      <c r="A216" s="440"/>
      <c r="B216" s="441"/>
      <c r="C216" s="185" t="s">
        <v>34</v>
      </c>
      <c r="D216" s="80">
        <f>'[3]табл.8 11.10.21'!G223</f>
        <v>0</v>
      </c>
      <c r="E216" s="80">
        <v>0</v>
      </c>
      <c r="F216" s="611">
        <v>0</v>
      </c>
      <c r="G216" s="441"/>
      <c r="H216" s="441"/>
      <c r="I216" s="440"/>
      <c r="J216" s="434"/>
      <c r="K216" s="434"/>
      <c r="L216" s="99"/>
      <c r="M216" s="99"/>
      <c r="N216" s="99"/>
      <c r="O216" s="99"/>
      <c r="P216" s="74"/>
      <c r="Q216" s="75"/>
      <c r="R216" s="75"/>
      <c r="S216" s="75"/>
      <c r="T216" s="75"/>
    </row>
    <row r="217" spans="1:20" s="76" customFormat="1" ht="12" customHeight="1" x14ac:dyDescent="0.25">
      <c r="A217" s="440"/>
      <c r="B217" s="441"/>
      <c r="C217" s="185" t="s">
        <v>36</v>
      </c>
      <c r="D217" s="80">
        <f>'[3]табл.8 11.10.21'!I223</f>
        <v>0</v>
      </c>
      <c r="E217" s="80">
        <v>0</v>
      </c>
      <c r="F217" s="611">
        <v>0</v>
      </c>
      <c r="G217" s="441"/>
      <c r="H217" s="441"/>
      <c r="I217" s="440"/>
      <c r="J217" s="434"/>
      <c r="K217" s="434"/>
      <c r="L217" s="99"/>
      <c r="M217" s="99"/>
      <c r="N217" s="99"/>
      <c r="O217" s="99"/>
      <c r="P217" s="74"/>
      <c r="Q217" s="75"/>
      <c r="R217" s="75"/>
      <c r="S217" s="75"/>
      <c r="T217" s="75"/>
    </row>
    <row r="218" spans="1:20" s="70" customFormat="1" ht="12" customHeight="1" x14ac:dyDescent="0.25">
      <c r="A218" s="440" t="s">
        <v>114</v>
      </c>
      <c r="B218" s="441" t="s">
        <v>115</v>
      </c>
      <c r="C218" s="77" t="s">
        <v>28</v>
      </c>
      <c r="D218" s="78">
        <f>D219+D220+D221+D222</f>
        <v>0</v>
      </c>
      <c r="E218" s="78">
        <f>E219+E220+E221+E222</f>
        <v>0</v>
      </c>
      <c r="F218" s="610">
        <v>0</v>
      </c>
      <c r="G218" s="450" t="s">
        <v>48</v>
      </c>
      <c r="H218" s="450" t="s">
        <v>49</v>
      </c>
      <c r="I218" s="449" t="s">
        <v>50</v>
      </c>
      <c r="J218" s="434"/>
      <c r="K218" s="434"/>
      <c r="L218" s="235"/>
      <c r="M218" s="235"/>
      <c r="N218" s="235"/>
      <c r="O218" s="235"/>
      <c r="P218" s="68"/>
      <c r="Q218" s="69"/>
      <c r="R218" s="69"/>
      <c r="S218" s="69"/>
      <c r="T218" s="69"/>
    </row>
    <row r="219" spans="1:20" s="76" customFormat="1" ht="12" customHeight="1" x14ac:dyDescent="0.25">
      <c r="A219" s="440"/>
      <c r="B219" s="441"/>
      <c r="C219" s="185" t="s">
        <v>30</v>
      </c>
      <c r="D219" s="80">
        <f>'[6]табл.8 уточнение 2021 04.02. '!$H$241</f>
        <v>0</v>
      </c>
      <c r="E219" s="80">
        <v>0</v>
      </c>
      <c r="F219" s="611">
        <v>0</v>
      </c>
      <c r="G219" s="450"/>
      <c r="H219" s="450"/>
      <c r="I219" s="449"/>
      <c r="J219" s="434"/>
      <c r="K219" s="434"/>
      <c r="L219" s="99"/>
      <c r="M219" s="99"/>
      <c r="N219" s="99"/>
      <c r="O219" s="99"/>
      <c r="P219" s="74"/>
      <c r="Q219" s="75"/>
      <c r="R219" s="75"/>
      <c r="S219" s="75"/>
      <c r="T219" s="75"/>
    </row>
    <row r="220" spans="1:20" s="76" customFormat="1" ht="12" customHeight="1" x14ac:dyDescent="0.25">
      <c r="A220" s="440"/>
      <c r="B220" s="441"/>
      <c r="C220" s="185" t="s">
        <v>32</v>
      </c>
      <c r="D220" s="80">
        <f>'[3]табл.8 11.10.21'!F229</f>
        <v>0</v>
      </c>
      <c r="E220" s="80">
        <v>0</v>
      </c>
      <c r="F220" s="611">
        <v>0</v>
      </c>
      <c r="G220" s="450"/>
      <c r="H220" s="450"/>
      <c r="I220" s="449"/>
      <c r="J220" s="434"/>
      <c r="K220" s="434"/>
      <c r="L220" s="99"/>
      <c r="M220" s="99"/>
      <c r="N220" s="99"/>
      <c r="O220" s="99"/>
      <c r="P220" s="74"/>
      <c r="Q220" s="75"/>
      <c r="R220" s="75"/>
      <c r="S220" s="75"/>
      <c r="T220" s="75"/>
    </row>
    <row r="221" spans="1:20" s="76" customFormat="1" ht="12" customHeight="1" x14ac:dyDescent="0.25">
      <c r="A221" s="440"/>
      <c r="B221" s="441"/>
      <c r="C221" s="185" t="s">
        <v>34</v>
      </c>
      <c r="D221" s="80">
        <f>'[3]табл.8 11.10.21'!G229</f>
        <v>0</v>
      </c>
      <c r="E221" s="80">
        <v>0</v>
      </c>
      <c r="F221" s="611">
        <v>0</v>
      </c>
      <c r="G221" s="450"/>
      <c r="H221" s="450"/>
      <c r="I221" s="449"/>
      <c r="J221" s="434"/>
      <c r="K221" s="434"/>
      <c r="L221" s="99"/>
      <c r="M221" s="99"/>
      <c r="N221" s="99"/>
      <c r="O221" s="99"/>
      <c r="P221" s="74"/>
      <c r="Q221" s="75"/>
      <c r="R221" s="75"/>
      <c r="S221" s="75"/>
      <c r="T221" s="75"/>
    </row>
    <row r="222" spans="1:20" s="76" customFormat="1" ht="12" customHeight="1" x14ac:dyDescent="0.25">
      <c r="A222" s="440"/>
      <c r="B222" s="441"/>
      <c r="C222" s="185" t="s">
        <v>36</v>
      </c>
      <c r="D222" s="80">
        <f>'[3]табл.8 11.10.21'!I229</f>
        <v>0</v>
      </c>
      <c r="E222" s="80">
        <v>0</v>
      </c>
      <c r="F222" s="611">
        <v>0</v>
      </c>
      <c r="G222" s="450"/>
      <c r="H222" s="450"/>
      <c r="I222" s="449"/>
      <c r="J222" s="434"/>
      <c r="K222" s="434"/>
      <c r="L222" s="99"/>
      <c r="M222" s="99"/>
      <c r="N222" s="99"/>
      <c r="O222" s="99"/>
      <c r="P222" s="74"/>
      <c r="Q222" s="75"/>
      <c r="R222" s="75"/>
      <c r="S222" s="75"/>
      <c r="T222" s="75"/>
    </row>
    <row r="223" spans="1:20" s="70" customFormat="1" ht="12" customHeight="1" x14ac:dyDescent="0.25">
      <c r="A223" s="440" t="s">
        <v>116</v>
      </c>
      <c r="B223" s="441" t="s">
        <v>117</v>
      </c>
      <c r="C223" s="77" t="s">
        <v>28</v>
      </c>
      <c r="D223" s="78">
        <f>D224+D225+D226+D227</f>
        <v>6523801.1299999999</v>
      </c>
      <c r="E223" s="78">
        <f>E224+E225+E226+E227</f>
        <v>6523801.1299999999</v>
      </c>
      <c r="F223" s="610">
        <f t="shared" si="32"/>
        <v>1</v>
      </c>
      <c r="G223" s="450" t="s">
        <v>48</v>
      </c>
      <c r="H223" s="450" t="s">
        <v>49</v>
      </c>
      <c r="I223" s="449" t="s">
        <v>882</v>
      </c>
      <c r="J223" s="434"/>
      <c r="K223" s="434"/>
      <c r="L223" s="235"/>
      <c r="M223" s="235"/>
      <c r="N223" s="235"/>
      <c r="O223" s="235"/>
      <c r="P223" s="68"/>
      <c r="Q223" s="69"/>
      <c r="R223" s="69"/>
      <c r="S223" s="69"/>
      <c r="T223" s="69"/>
    </row>
    <row r="224" spans="1:20" s="76" customFormat="1" ht="12" customHeight="1" x14ac:dyDescent="0.25">
      <c r="A224" s="440"/>
      <c r="B224" s="441"/>
      <c r="C224" s="185" t="s">
        <v>30</v>
      </c>
      <c r="D224" s="80">
        <f>'[6]табл.8 уточнение 2021 04.02. '!$H$247</f>
        <v>6523801.1299999999</v>
      </c>
      <c r="E224" s="80">
        <f>D224</f>
        <v>6523801.1299999999</v>
      </c>
      <c r="F224" s="611">
        <f t="shared" si="32"/>
        <v>1</v>
      </c>
      <c r="G224" s="450"/>
      <c r="H224" s="450"/>
      <c r="I224" s="449"/>
      <c r="J224" s="434"/>
      <c r="K224" s="434"/>
      <c r="L224" s="99"/>
      <c r="M224" s="99"/>
      <c r="N224" s="99"/>
      <c r="O224" s="99"/>
      <c r="P224" s="74"/>
      <c r="Q224" s="75"/>
      <c r="R224" s="75"/>
      <c r="S224" s="75"/>
      <c r="T224" s="75"/>
    </row>
    <row r="225" spans="1:20" s="76" customFormat="1" ht="12" customHeight="1" x14ac:dyDescent="0.25">
      <c r="A225" s="440"/>
      <c r="B225" s="441"/>
      <c r="C225" s="185" t="s">
        <v>32</v>
      </c>
      <c r="D225" s="80">
        <f>'[3]табл.8 11.10.21'!F235</f>
        <v>0</v>
      </c>
      <c r="E225" s="80">
        <v>0</v>
      </c>
      <c r="F225" s="611">
        <v>0</v>
      </c>
      <c r="G225" s="450"/>
      <c r="H225" s="450"/>
      <c r="I225" s="449"/>
      <c r="J225" s="434"/>
      <c r="K225" s="434"/>
      <c r="L225" s="99"/>
      <c r="M225" s="99"/>
      <c r="N225" s="99"/>
      <c r="O225" s="99"/>
      <c r="P225" s="74"/>
      <c r="Q225" s="75"/>
      <c r="R225" s="75"/>
      <c r="S225" s="75"/>
      <c r="T225" s="75"/>
    </row>
    <row r="226" spans="1:20" s="76" customFormat="1" ht="12" customHeight="1" x14ac:dyDescent="0.25">
      <c r="A226" s="440"/>
      <c r="B226" s="441"/>
      <c r="C226" s="185" t="s">
        <v>34</v>
      </c>
      <c r="D226" s="80">
        <f>'[3]табл.8 11.10.21'!G235</f>
        <v>0</v>
      </c>
      <c r="E226" s="80">
        <v>0</v>
      </c>
      <c r="F226" s="611">
        <v>0</v>
      </c>
      <c r="G226" s="450"/>
      <c r="H226" s="450"/>
      <c r="I226" s="449"/>
      <c r="J226" s="434"/>
      <c r="K226" s="434"/>
      <c r="L226" s="99"/>
      <c r="M226" s="99"/>
      <c r="N226" s="99"/>
      <c r="O226" s="99"/>
      <c r="P226" s="74"/>
      <c r="Q226" s="75"/>
      <c r="R226" s="75"/>
      <c r="S226" s="75"/>
      <c r="T226" s="75"/>
    </row>
    <row r="227" spans="1:20" s="76" customFormat="1" ht="12" customHeight="1" x14ac:dyDescent="0.25">
      <c r="A227" s="440"/>
      <c r="B227" s="441"/>
      <c r="C227" s="185" t="s">
        <v>36</v>
      </c>
      <c r="D227" s="80">
        <f>'[3]табл.8 11.10.21'!I235</f>
        <v>0</v>
      </c>
      <c r="E227" s="80">
        <v>0</v>
      </c>
      <c r="F227" s="611">
        <v>0</v>
      </c>
      <c r="G227" s="450"/>
      <c r="H227" s="450"/>
      <c r="I227" s="449"/>
      <c r="J227" s="434"/>
      <c r="K227" s="434"/>
      <c r="L227" s="99"/>
      <c r="M227" s="99"/>
      <c r="N227" s="99"/>
      <c r="O227" s="99"/>
      <c r="P227" s="74"/>
      <c r="Q227" s="75"/>
      <c r="R227" s="75"/>
      <c r="S227" s="75"/>
      <c r="T227" s="75"/>
    </row>
    <row r="228" spans="1:20" s="70" customFormat="1" ht="12" customHeight="1" x14ac:dyDescent="0.25">
      <c r="A228" s="476" t="s">
        <v>118</v>
      </c>
      <c r="B228" s="477" t="s">
        <v>119</v>
      </c>
      <c r="C228" s="65" t="s">
        <v>28</v>
      </c>
      <c r="D228" s="66">
        <f>D229+D230+D231+D232</f>
        <v>13663648.899999999</v>
      </c>
      <c r="E228" s="66">
        <f>E229+E230+E231+E232</f>
        <v>13662914.140000001</v>
      </c>
      <c r="F228" s="609">
        <f t="shared" ref="F228:F231" si="34">E228/D228</f>
        <v>0.99994622519903908</v>
      </c>
      <c r="G228" s="478"/>
      <c r="H228" s="67" t="s">
        <v>39</v>
      </c>
      <c r="I228" s="65">
        <f>SUM(I229:I231)</f>
        <v>1</v>
      </c>
      <c r="J228" s="479" t="s">
        <v>878</v>
      </c>
      <c r="K228" s="479"/>
      <c r="L228" s="235"/>
      <c r="M228" s="235"/>
      <c r="N228" s="235"/>
      <c r="O228" s="235"/>
      <c r="P228" s="68"/>
      <c r="Q228" s="69"/>
      <c r="R228" s="69"/>
      <c r="S228" s="69"/>
      <c r="T228" s="69"/>
    </row>
    <row r="229" spans="1:20" s="76" customFormat="1" ht="12" customHeight="1" x14ac:dyDescent="0.25">
      <c r="A229" s="476"/>
      <c r="B229" s="477"/>
      <c r="C229" s="430" t="s">
        <v>30</v>
      </c>
      <c r="D229" s="72">
        <f>D234+D239+D244</f>
        <v>687224.37</v>
      </c>
      <c r="E229" s="72">
        <f>E234+E239+E244</f>
        <v>686489.61</v>
      </c>
      <c r="F229" s="609">
        <f t="shared" si="34"/>
        <v>0.99893082953388279</v>
      </c>
      <c r="G229" s="478"/>
      <c r="H229" s="73" t="s">
        <v>31</v>
      </c>
      <c r="I229" s="430">
        <v>1</v>
      </c>
      <c r="J229" s="479"/>
      <c r="K229" s="479"/>
      <c r="L229" s="99"/>
      <c r="M229" s="99"/>
      <c r="N229" s="99"/>
      <c r="O229" s="99"/>
      <c r="P229" s="74"/>
      <c r="Q229" s="75"/>
      <c r="R229" s="75"/>
      <c r="S229" s="75"/>
      <c r="T229" s="75"/>
    </row>
    <row r="230" spans="1:20" s="76" customFormat="1" ht="12" customHeight="1" x14ac:dyDescent="0.25">
      <c r="A230" s="476"/>
      <c r="B230" s="477"/>
      <c r="C230" s="430" t="s">
        <v>32</v>
      </c>
      <c r="D230" s="72">
        <f t="shared" ref="D230:E232" si="35">D235+D240+D245</f>
        <v>3650084.51</v>
      </c>
      <c r="E230" s="72">
        <f t="shared" si="35"/>
        <v>3650084.51</v>
      </c>
      <c r="F230" s="609">
        <f t="shared" si="34"/>
        <v>1</v>
      </c>
      <c r="G230" s="478"/>
      <c r="H230" s="73" t="s">
        <v>33</v>
      </c>
      <c r="I230" s="430">
        <v>0</v>
      </c>
      <c r="J230" s="479"/>
      <c r="K230" s="479"/>
      <c r="L230" s="99"/>
      <c r="M230" s="99"/>
      <c r="N230" s="99"/>
      <c r="O230" s="99"/>
      <c r="P230" s="74"/>
      <c r="Q230" s="75"/>
      <c r="R230" s="75"/>
      <c r="S230" s="75"/>
      <c r="T230" s="75"/>
    </row>
    <row r="231" spans="1:20" s="76" customFormat="1" ht="12" customHeight="1" x14ac:dyDescent="0.25">
      <c r="A231" s="476"/>
      <c r="B231" s="477"/>
      <c r="C231" s="430" t="s">
        <v>34</v>
      </c>
      <c r="D231" s="72">
        <f t="shared" si="35"/>
        <v>9326340.0199999996</v>
      </c>
      <c r="E231" s="72">
        <f t="shared" si="35"/>
        <v>9326340.0199999996</v>
      </c>
      <c r="F231" s="609">
        <f t="shared" si="34"/>
        <v>1</v>
      </c>
      <c r="G231" s="478"/>
      <c r="H231" s="73" t="s">
        <v>35</v>
      </c>
      <c r="I231" s="430">
        <v>0</v>
      </c>
      <c r="J231" s="479"/>
      <c r="K231" s="479"/>
      <c r="L231" s="99"/>
      <c r="M231" s="99"/>
      <c r="N231" s="99"/>
      <c r="O231" s="99"/>
      <c r="P231" s="74"/>
      <c r="Q231" s="75"/>
      <c r="R231" s="75"/>
      <c r="S231" s="75"/>
      <c r="T231" s="75"/>
    </row>
    <row r="232" spans="1:20" s="76" customFormat="1" ht="12" customHeight="1" x14ac:dyDescent="0.25">
      <c r="A232" s="476"/>
      <c r="B232" s="477"/>
      <c r="C232" s="430" t="s">
        <v>36</v>
      </c>
      <c r="D232" s="72">
        <f t="shared" si="35"/>
        <v>0</v>
      </c>
      <c r="E232" s="72">
        <f t="shared" si="35"/>
        <v>0</v>
      </c>
      <c r="F232" s="609">
        <v>0</v>
      </c>
      <c r="G232" s="478"/>
      <c r="H232" s="73" t="s">
        <v>37</v>
      </c>
      <c r="I232" s="635">
        <f>(I34+0.5*I35)/I33*100%</f>
        <v>1</v>
      </c>
      <c r="J232" s="479"/>
      <c r="K232" s="479"/>
      <c r="L232" s="99"/>
      <c r="M232" s="99"/>
      <c r="N232" s="99"/>
      <c r="O232" s="99"/>
      <c r="P232" s="74"/>
      <c r="Q232" s="75"/>
      <c r="R232" s="75"/>
      <c r="S232" s="75"/>
      <c r="T232" s="75"/>
    </row>
    <row r="233" spans="1:20" s="70" customFormat="1" ht="12" customHeight="1" x14ac:dyDescent="0.25">
      <c r="A233" s="440" t="s">
        <v>120</v>
      </c>
      <c r="B233" s="441" t="s">
        <v>121</v>
      </c>
      <c r="C233" s="77" t="s">
        <v>28</v>
      </c>
      <c r="D233" s="78">
        <f>D234+D235+D236+D237</f>
        <v>6352814.5199999996</v>
      </c>
      <c r="E233" s="78">
        <f>E234+E235+E236+E237</f>
        <v>6352079.7599999998</v>
      </c>
      <c r="F233" s="610">
        <f t="shared" ref="F233:F246" si="36">E233/D233</f>
        <v>0.99988434102747903</v>
      </c>
      <c r="G233" s="441" t="s">
        <v>48</v>
      </c>
      <c r="H233" s="441" t="s">
        <v>49</v>
      </c>
      <c r="I233" s="440" t="s">
        <v>882</v>
      </c>
      <c r="J233" s="434"/>
      <c r="K233" s="434"/>
      <c r="L233" s="235"/>
      <c r="M233" s="235"/>
      <c r="N233" s="235"/>
      <c r="O233" s="235"/>
      <c r="P233" s="68"/>
      <c r="Q233" s="69"/>
      <c r="R233" s="69"/>
      <c r="S233" s="69"/>
      <c r="T233" s="69"/>
    </row>
    <row r="234" spans="1:20" s="76" customFormat="1" ht="12" customHeight="1" x14ac:dyDescent="0.25">
      <c r="A234" s="440"/>
      <c r="B234" s="441"/>
      <c r="C234" s="431" t="s">
        <v>30</v>
      </c>
      <c r="D234" s="80">
        <f>'[6]табл.8 уточнение 2021 04.02. '!$H$271</f>
        <v>138911.79</v>
      </c>
      <c r="E234" s="132">
        <f>D234-734.76</f>
        <v>138177.03</v>
      </c>
      <c r="F234" s="611">
        <f t="shared" si="36"/>
        <v>0.99471060015856094</v>
      </c>
      <c r="G234" s="441"/>
      <c r="H234" s="441"/>
      <c r="I234" s="440"/>
      <c r="J234" s="434"/>
      <c r="K234" s="434"/>
      <c r="L234" s="99"/>
      <c r="M234" s="99"/>
      <c r="N234" s="99"/>
      <c r="O234" s="99"/>
      <c r="P234" s="74"/>
      <c r="Q234" s="75"/>
      <c r="R234" s="75"/>
      <c r="S234" s="75"/>
      <c r="T234" s="75"/>
    </row>
    <row r="235" spans="1:20" s="76" customFormat="1" ht="12" customHeight="1" x14ac:dyDescent="0.25">
      <c r="A235" s="440"/>
      <c r="B235" s="441"/>
      <c r="C235" s="431" t="s">
        <v>32</v>
      </c>
      <c r="D235" s="80">
        <f>'[6]табл.8 уточнение 2021 04.02. '!$F$271</f>
        <v>1689003.3599999999</v>
      </c>
      <c r="E235" s="132">
        <f t="shared" ref="E235" si="37">D235</f>
        <v>1689003.3599999999</v>
      </c>
      <c r="F235" s="611">
        <f t="shared" si="36"/>
        <v>1</v>
      </c>
      <c r="G235" s="441"/>
      <c r="H235" s="441"/>
      <c r="I235" s="440"/>
      <c r="J235" s="434"/>
      <c r="K235" s="434"/>
      <c r="L235" s="99"/>
      <c r="M235" s="99"/>
      <c r="N235" s="99"/>
      <c r="O235" s="99"/>
      <c r="P235" s="74"/>
      <c r="Q235" s="75"/>
      <c r="R235" s="75"/>
      <c r="S235" s="75"/>
      <c r="T235" s="75"/>
    </row>
    <row r="236" spans="1:20" s="76" customFormat="1" ht="12" customHeight="1" x14ac:dyDescent="0.25">
      <c r="A236" s="440"/>
      <c r="B236" s="441"/>
      <c r="C236" s="431" t="s">
        <v>34</v>
      </c>
      <c r="D236" s="80">
        <f>'[6]табл.8 уточнение 2021 04.02. '!$G$271</f>
        <v>4524899.37</v>
      </c>
      <c r="E236" s="132">
        <f>D236</f>
        <v>4524899.37</v>
      </c>
      <c r="F236" s="611">
        <f t="shared" si="36"/>
        <v>1</v>
      </c>
      <c r="G236" s="441"/>
      <c r="H236" s="441"/>
      <c r="I236" s="440"/>
      <c r="J236" s="434"/>
      <c r="K236" s="434"/>
      <c r="L236" s="99"/>
      <c r="M236" s="99"/>
      <c r="N236" s="99"/>
      <c r="O236" s="99"/>
      <c r="P236" s="74"/>
      <c r="Q236" s="75"/>
      <c r="R236" s="75"/>
      <c r="S236" s="75"/>
      <c r="T236" s="75"/>
    </row>
    <row r="237" spans="1:20" s="76" customFormat="1" ht="12" customHeight="1" x14ac:dyDescent="0.25">
      <c r="A237" s="440"/>
      <c r="B237" s="441"/>
      <c r="C237" s="431" t="s">
        <v>36</v>
      </c>
      <c r="D237" s="80">
        <f>'[3]табл.8 11.10.21'!I247</f>
        <v>0</v>
      </c>
      <c r="E237" s="80">
        <v>0</v>
      </c>
      <c r="F237" s="611">
        <v>0</v>
      </c>
      <c r="G237" s="441"/>
      <c r="H237" s="441"/>
      <c r="I237" s="440"/>
      <c r="J237" s="434"/>
      <c r="K237" s="434"/>
      <c r="L237" s="99"/>
      <c r="M237" s="99"/>
      <c r="N237" s="99"/>
      <c r="O237" s="99"/>
      <c r="P237" s="74"/>
      <c r="Q237" s="75"/>
      <c r="R237" s="75"/>
      <c r="S237" s="75"/>
      <c r="T237" s="75"/>
    </row>
    <row r="238" spans="1:20" s="70" customFormat="1" ht="12.75" customHeight="1" x14ac:dyDescent="0.25">
      <c r="A238" s="440" t="s">
        <v>122</v>
      </c>
      <c r="B238" s="441" t="s">
        <v>123</v>
      </c>
      <c r="C238" s="77" t="s">
        <v>28</v>
      </c>
      <c r="D238" s="78">
        <f>D239+D240+D241+D242</f>
        <v>0</v>
      </c>
      <c r="E238" s="78">
        <f>E239+E240+E241+E242</f>
        <v>0</v>
      </c>
      <c r="F238" s="610">
        <v>0</v>
      </c>
      <c r="G238" s="441" t="s">
        <v>48</v>
      </c>
      <c r="H238" s="441" t="s">
        <v>49</v>
      </c>
      <c r="I238" s="440" t="s">
        <v>50</v>
      </c>
      <c r="J238" s="434"/>
      <c r="K238" s="434"/>
      <c r="L238" s="235"/>
      <c r="M238" s="235"/>
      <c r="N238" s="235"/>
      <c r="O238" s="235"/>
      <c r="P238" s="68"/>
      <c r="Q238" s="69"/>
      <c r="R238" s="69"/>
      <c r="S238" s="69"/>
      <c r="T238" s="69"/>
    </row>
    <row r="239" spans="1:20" s="76" customFormat="1" ht="12" customHeight="1" x14ac:dyDescent="0.25">
      <c r="A239" s="440"/>
      <c r="B239" s="441"/>
      <c r="C239" s="431" t="s">
        <v>30</v>
      </c>
      <c r="D239" s="80">
        <f>'[3]табл.8 11.10.21'!H253</f>
        <v>0</v>
      </c>
      <c r="E239" s="80">
        <v>0</v>
      </c>
      <c r="F239" s="611">
        <v>0</v>
      </c>
      <c r="G239" s="441"/>
      <c r="H239" s="441"/>
      <c r="I239" s="440"/>
      <c r="J239" s="434"/>
      <c r="K239" s="434"/>
      <c r="L239" s="99"/>
      <c r="M239" s="99"/>
      <c r="N239" s="99"/>
      <c r="O239" s="99"/>
      <c r="P239" s="74"/>
      <c r="Q239" s="75"/>
      <c r="R239" s="75"/>
      <c r="S239" s="75"/>
      <c r="T239" s="75"/>
    </row>
    <row r="240" spans="1:20" s="76" customFormat="1" ht="12" customHeight="1" x14ac:dyDescent="0.25">
      <c r="A240" s="440"/>
      <c r="B240" s="441"/>
      <c r="C240" s="431" t="s">
        <v>32</v>
      </c>
      <c r="D240" s="80">
        <f>'[3]табл.8 11.10.21'!F253</f>
        <v>0</v>
      </c>
      <c r="E240" s="80">
        <v>0</v>
      </c>
      <c r="F240" s="611">
        <v>0</v>
      </c>
      <c r="G240" s="441"/>
      <c r="H240" s="441"/>
      <c r="I240" s="440"/>
      <c r="J240" s="434"/>
      <c r="K240" s="434"/>
      <c r="L240" s="99"/>
      <c r="M240" s="99"/>
      <c r="N240" s="99"/>
      <c r="O240" s="99"/>
      <c r="P240" s="74"/>
      <c r="Q240" s="75"/>
      <c r="R240" s="75"/>
      <c r="S240" s="75"/>
      <c r="T240" s="75"/>
    </row>
    <row r="241" spans="1:20" s="76" customFormat="1" ht="12" customHeight="1" x14ac:dyDescent="0.25">
      <c r="A241" s="440"/>
      <c r="B241" s="441"/>
      <c r="C241" s="431" t="s">
        <v>34</v>
      </c>
      <c r="D241" s="80">
        <f>'[3]табл.8 11.10.21'!G253</f>
        <v>0</v>
      </c>
      <c r="E241" s="80">
        <v>0</v>
      </c>
      <c r="F241" s="611">
        <v>0</v>
      </c>
      <c r="G241" s="441"/>
      <c r="H241" s="441"/>
      <c r="I241" s="440"/>
      <c r="J241" s="434"/>
      <c r="K241" s="434"/>
      <c r="L241" s="99"/>
      <c r="M241" s="99"/>
      <c r="N241" s="99"/>
      <c r="O241" s="99"/>
      <c r="P241" s="74"/>
      <c r="Q241" s="75"/>
      <c r="R241" s="75"/>
      <c r="S241" s="75"/>
      <c r="T241" s="75"/>
    </row>
    <row r="242" spans="1:20" s="76" customFormat="1" ht="12" customHeight="1" x14ac:dyDescent="0.25">
      <c r="A242" s="440"/>
      <c r="B242" s="441"/>
      <c r="C242" s="431" t="s">
        <v>36</v>
      </c>
      <c r="D242" s="80">
        <f>'[3]табл.8 11.10.21'!I253</f>
        <v>0</v>
      </c>
      <c r="E242" s="80">
        <v>0</v>
      </c>
      <c r="F242" s="611">
        <v>0</v>
      </c>
      <c r="G242" s="441"/>
      <c r="H242" s="441"/>
      <c r="I242" s="440"/>
      <c r="J242" s="434"/>
      <c r="K242" s="434"/>
      <c r="L242" s="99"/>
      <c r="M242" s="99"/>
      <c r="N242" s="99"/>
      <c r="O242" s="99"/>
      <c r="P242" s="74"/>
      <c r="Q242" s="75"/>
      <c r="R242" s="75"/>
      <c r="S242" s="75"/>
      <c r="T242" s="75"/>
    </row>
    <row r="243" spans="1:20" s="70" customFormat="1" ht="12" customHeight="1" x14ac:dyDescent="0.25">
      <c r="A243" s="440" t="s">
        <v>124</v>
      </c>
      <c r="B243" s="441" t="s">
        <v>125</v>
      </c>
      <c r="C243" s="77" t="s">
        <v>28</v>
      </c>
      <c r="D243" s="78">
        <f>D244+D245+D246+D247</f>
        <v>7310834.3800000008</v>
      </c>
      <c r="E243" s="78">
        <f>E244+E245+E246+E247</f>
        <v>7310834.3800000008</v>
      </c>
      <c r="F243" s="610">
        <f t="shared" si="36"/>
        <v>1</v>
      </c>
      <c r="G243" s="441" t="s">
        <v>48</v>
      </c>
      <c r="H243" s="441" t="s">
        <v>49</v>
      </c>
      <c r="I243" s="440" t="s">
        <v>882</v>
      </c>
      <c r="J243" s="434"/>
      <c r="K243" s="434"/>
      <c r="L243" s="235"/>
      <c r="M243" s="235"/>
      <c r="N243" s="235"/>
      <c r="O243" s="235"/>
      <c r="P243" s="68"/>
      <c r="Q243" s="69"/>
      <c r="R243" s="69"/>
      <c r="S243" s="69"/>
      <c r="T243" s="69"/>
    </row>
    <row r="244" spans="1:20" s="76" customFormat="1" ht="12" customHeight="1" x14ac:dyDescent="0.25">
      <c r="A244" s="440"/>
      <c r="B244" s="441"/>
      <c r="C244" s="352" t="s">
        <v>30</v>
      </c>
      <c r="D244" s="80">
        <f>'[6]табл.8 уточнение 2021 04.02. '!$H$283</f>
        <v>548312.57999999996</v>
      </c>
      <c r="E244" s="80">
        <f>D244</f>
        <v>548312.57999999996</v>
      </c>
      <c r="F244" s="611">
        <f t="shared" si="36"/>
        <v>1</v>
      </c>
      <c r="G244" s="441"/>
      <c r="H244" s="441"/>
      <c r="I244" s="440"/>
      <c r="J244" s="434"/>
      <c r="K244" s="434"/>
      <c r="L244" s="99"/>
      <c r="M244" s="99"/>
      <c r="N244" s="99"/>
      <c r="O244" s="99"/>
      <c r="P244" s="74"/>
      <c r="Q244" s="75"/>
      <c r="R244" s="75"/>
      <c r="S244" s="75"/>
      <c r="T244" s="75"/>
    </row>
    <row r="245" spans="1:20" s="76" customFormat="1" ht="12" customHeight="1" x14ac:dyDescent="0.25">
      <c r="A245" s="440"/>
      <c r="B245" s="441"/>
      <c r="C245" s="352" t="s">
        <v>32</v>
      </c>
      <c r="D245" s="80">
        <f>'[6]табл.8 уточнение 2021 04.02. '!$F$283</f>
        <v>1961081.15</v>
      </c>
      <c r="E245" s="80">
        <f t="shared" ref="E245:E246" si="38">D245</f>
        <v>1961081.15</v>
      </c>
      <c r="F245" s="611">
        <f t="shared" si="36"/>
        <v>1</v>
      </c>
      <c r="G245" s="441"/>
      <c r="H245" s="441"/>
      <c r="I245" s="440"/>
      <c r="J245" s="434"/>
      <c r="K245" s="434"/>
      <c r="L245" s="99"/>
      <c r="M245" s="99"/>
      <c r="N245" s="99"/>
      <c r="O245" s="99"/>
      <c r="P245" s="74"/>
      <c r="Q245" s="75"/>
      <c r="R245" s="75"/>
      <c r="S245" s="75"/>
      <c r="T245" s="75"/>
    </row>
    <row r="246" spans="1:20" s="76" customFormat="1" ht="12" customHeight="1" x14ac:dyDescent="0.25">
      <c r="A246" s="440"/>
      <c r="B246" s="441"/>
      <c r="C246" s="352" t="s">
        <v>34</v>
      </c>
      <c r="D246" s="80">
        <f>'[6]табл.8 уточнение 2021 04.02. '!$G$283</f>
        <v>4801440.6500000004</v>
      </c>
      <c r="E246" s="80">
        <f t="shared" si="38"/>
        <v>4801440.6500000004</v>
      </c>
      <c r="F246" s="611">
        <f t="shared" si="36"/>
        <v>1</v>
      </c>
      <c r="G246" s="441"/>
      <c r="H246" s="441"/>
      <c r="I246" s="440"/>
      <c r="J246" s="434"/>
      <c r="K246" s="434"/>
      <c r="L246" s="99"/>
      <c r="M246" s="99"/>
      <c r="N246" s="99"/>
      <c r="O246" s="99"/>
      <c r="P246" s="74"/>
      <c r="Q246" s="75"/>
      <c r="R246" s="75"/>
      <c r="S246" s="75"/>
      <c r="T246" s="75"/>
    </row>
    <row r="247" spans="1:20" s="76" customFormat="1" ht="12" customHeight="1" x14ac:dyDescent="0.25">
      <c r="A247" s="440"/>
      <c r="B247" s="441"/>
      <c r="C247" s="352" t="s">
        <v>36</v>
      </c>
      <c r="D247" s="80">
        <f>'[3]табл.8 11.10.21'!I259</f>
        <v>0</v>
      </c>
      <c r="E247" s="80">
        <v>0</v>
      </c>
      <c r="F247" s="611">
        <v>0</v>
      </c>
      <c r="G247" s="441"/>
      <c r="H247" s="441"/>
      <c r="I247" s="440"/>
      <c r="J247" s="434"/>
      <c r="K247" s="434"/>
      <c r="L247" s="99"/>
      <c r="M247" s="99"/>
      <c r="N247" s="99"/>
      <c r="O247" s="99"/>
      <c r="P247" s="74"/>
      <c r="Q247" s="75"/>
      <c r="R247" s="75"/>
      <c r="S247" s="75"/>
      <c r="T247" s="75"/>
    </row>
    <row r="248" spans="1:20" ht="12" customHeight="1" x14ac:dyDescent="0.25">
      <c r="A248" s="472" t="s">
        <v>126</v>
      </c>
      <c r="B248" s="473" t="s">
        <v>127</v>
      </c>
      <c r="C248" s="187" t="s">
        <v>28</v>
      </c>
      <c r="D248" s="88">
        <f>D249+D250+D251+D252</f>
        <v>62513620.339999996</v>
      </c>
      <c r="E248" s="332">
        <f>E249+E250+E251+E252</f>
        <v>61322175.310000002</v>
      </c>
      <c r="F248" s="612">
        <f>E248/D248</f>
        <v>0.98094103295377955</v>
      </c>
      <c r="G248" s="474"/>
      <c r="H248" s="347" t="s">
        <v>39</v>
      </c>
      <c r="I248" s="348">
        <f>SUM(I249:I251)</f>
        <v>2</v>
      </c>
      <c r="J248" s="475" t="s">
        <v>885</v>
      </c>
      <c r="K248" s="475"/>
    </row>
    <row r="249" spans="1:20" ht="12" customHeight="1" x14ac:dyDescent="0.25">
      <c r="A249" s="472"/>
      <c r="B249" s="473"/>
      <c r="C249" s="187" t="s">
        <v>30</v>
      </c>
      <c r="D249" s="88">
        <f>D254+D264</f>
        <v>19028854.399999999</v>
      </c>
      <c r="E249" s="332">
        <f>E254+E264</f>
        <v>19024579.32</v>
      </c>
      <c r="F249" s="612">
        <f t="shared" ref="F249:F250" si="39">E249/D249</f>
        <v>0.99977533697456855</v>
      </c>
      <c r="G249" s="474"/>
      <c r="H249" s="186" t="s">
        <v>31</v>
      </c>
      <c r="I249" s="187">
        <f>I254+I264</f>
        <v>2</v>
      </c>
      <c r="J249" s="475"/>
      <c r="K249" s="475"/>
    </row>
    <row r="250" spans="1:20" ht="12" customHeight="1" x14ac:dyDescent="0.25">
      <c r="A250" s="472"/>
      <c r="B250" s="473"/>
      <c r="C250" s="187" t="s">
        <v>32</v>
      </c>
      <c r="D250" s="88">
        <f t="shared" ref="D250:E252" si="40">D255+D265</f>
        <v>43484765.939999998</v>
      </c>
      <c r="E250" s="332">
        <f t="shared" si="40"/>
        <v>42297595.990000002</v>
      </c>
      <c r="F250" s="612">
        <f t="shared" si="39"/>
        <v>0.97269917580703902</v>
      </c>
      <c r="G250" s="474"/>
      <c r="H250" s="186" t="s">
        <v>33</v>
      </c>
      <c r="I250" s="238">
        <f t="shared" ref="I250:I251" si="41">I255+I265</f>
        <v>0</v>
      </c>
      <c r="J250" s="475"/>
      <c r="K250" s="475"/>
    </row>
    <row r="251" spans="1:20" ht="12" customHeight="1" x14ac:dyDescent="0.25">
      <c r="A251" s="472"/>
      <c r="B251" s="473"/>
      <c r="C251" s="187" t="s">
        <v>34</v>
      </c>
      <c r="D251" s="88">
        <f t="shared" si="40"/>
        <v>0</v>
      </c>
      <c r="E251" s="332">
        <f t="shared" si="40"/>
        <v>0</v>
      </c>
      <c r="F251" s="612">
        <v>0</v>
      </c>
      <c r="G251" s="474"/>
      <c r="H251" s="186" t="s">
        <v>35</v>
      </c>
      <c r="I251" s="238">
        <f t="shared" si="41"/>
        <v>0</v>
      </c>
      <c r="J251" s="475"/>
      <c r="K251" s="475"/>
    </row>
    <row r="252" spans="1:20" ht="12" customHeight="1" x14ac:dyDescent="0.25">
      <c r="A252" s="472"/>
      <c r="B252" s="473"/>
      <c r="C252" s="187" t="s">
        <v>36</v>
      </c>
      <c r="D252" s="88">
        <f t="shared" si="40"/>
        <v>0</v>
      </c>
      <c r="E252" s="332">
        <f t="shared" si="40"/>
        <v>0</v>
      </c>
      <c r="F252" s="612">
        <v>0</v>
      </c>
      <c r="G252" s="474"/>
      <c r="H252" s="186" t="s">
        <v>37</v>
      </c>
      <c r="I252" s="612">
        <f>(I34+0.5*I35)/I33*100%</f>
        <v>1</v>
      </c>
      <c r="J252" s="475"/>
      <c r="K252" s="475"/>
    </row>
    <row r="253" spans="1:20" ht="12" customHeight="1" x14ac:dyDescent="0.25">
      <c r="A253" s="466" t="s">
        <v>128</v>
      </c>
      <c r="B253" s="467" t="s">
        <v>129</v>
      </c>
      <c r="C253" s="189" t="s">
        <v>28</v>
      </c>
      <c r="D253" s="91">
        <f>D254+D255+D256+D257</f>
        <v>19028854.399999999</v>
      </c>
      <c r="E253" s="97">
        <f>E254+E255+E256+E257</f>
        <v>19024579.32</v>
      </c>
      <c r="F253" s="613">
        <f>E253/D253</f>
        <v>0.99977533697456855</v>
      </c>
      <c r="G253" s="468"/>
      <c r="H253" s="345" t="s">
        <v>39</v>
      </c>
      <c r="I253" s="346">
        <f>SUM(I254:I256)</f>
        <v>1</v>
      </c>
      <c r="J253" s="469" t="s">
        <v>885</v>
      </c>
      <c r="K253" s="469"/>
      <c r="P253" s="7"/>
    </row>
    <row r="254" spans="1:20" ht="12" customHeight="1" x14ac:dyDescent="0.25">
      <c r="A254" s="466"/>
      <c r="B254" s="467"/>
      <c r="C254" s="189" t="s">
        <v>30</v>
      </c>
      <c r="D254" s="91">
        <f>D259</f>
        <v>19028854.399999999</v>
      </c>
      <c r="E254" s="97">
        <f>E259</f>
        <v>19024579.32</v>
      </c>
      <c r="F254" s="613">
        <f t="shared" ref="F254:F259" si="42">E254/D254</f>
        <v>0.99977533697456855</v>
      </c>
      <c r="G254" s="468"/>
      <c r="H254" s="92" t="s">
        <v>31</v>
      </c>
      <c r="I254" s="189">
        <v>1</v>
      </c>
      <c r="J254" s="469"/>
      <c r="K254" s="469"/>
    </row>
    <row r="255" spans="1:20" ht="12" customHeight="1" x14ac:dyDescent="0.25">
      <c r="A255" s="466"/>
      <c r="B255" s="467"/>
      <c r="C255" s="189" t="s">
        <v>32</v>
      </c>
      <c r="D255" s="91">
        <f t="shared" ref="D255:E257" si="43">D260</f>
        <v>0</v>
      </c>
      <c r="E255" s="97">
        <f t="shared" si="43"/>
        <v>0</v>
      </c>
      <c r="F255" s="613">
        <v>0</v>
      </c>
      <c r="G255" s="468"/>
      <c r="H255" s="92" t="s">
        <v>33</v>
      </c>
      <c r="I255" s="189">
        <v>0</v>
      </c>
      <c r="J255" s="469"/>
      <c r="K255" s="469"/>
    </row>
    <row r="256" spans="1:20" ht="12" customHeight="1" x14ac:dyDescent="0.25">
      <c r="A256" s="466"/>
      <c r="B256" s="467"/>
      <c r="C256" s="189" t="s">
        <v>34</v>
      </c>
      <c r="D256" s="91">
        <f t="shared" si="43"/>
        <v>0</v>
      </c>
      <c r="E256" s="97">
        <f t="shared" si="43"/>
        <v>0</v>
      </c>
      <c r="F256" s="613">
        <v>0</v>
      </c>
      <c r="G256" s="468"/>
      <c r="H256" s="92" t="s">
        <v>35</v>
      </c>
      <c r="I256" s="189">
        <v>0</v>
      </c>
      <c r="J256" s="469"/>
      <c r="K256" s="469"/>
    </row>
    <row r="257" spans="1:20" ht="12" customHeight="1" x14ac:dyDescent="0.25">
      <c r="A257" s="466"/>
      <c r="B257" s="467"/>
      <c r="C257" s="189" t="s">
        <v>36</v>
      </c>
      <c r="D257" s="91">
        <f t="shared" si="43"/>
        <v>0</v>
      </c>
      <c r="E257" s="97">
        <f t="shared" si="43"/>
        <v>0</v>
      </c>
      <c r="F257" s="613">
        <v>0</v>
      </c>
      <c r="G257" s="468"/>
      <c r="H257" s="92" t="s">
        <v>37</v>
      </c>
      <c r="I257" s="613">
        <f>(I34+0.5*I35)/I33*100%</f>
        <v>1</v>
      </c>
      <c r="J257" s="469"/>
      <c r="K257" s="469"/>
    </row>
    <row r="258" spans="1:20" ht="12" customHeight="1" x14ac:dyDescent="0.25">
      <c r="A258" s="449" t="s">
        <v>130</v>
      </c>
      <c r="B258" s="450" t="s">
        <v>131</v>
      </c>
      <c r="C258" s="172" t="s">
        <v>28</v>
      </c>
      <c r="D258" s="15">
        <f>D259+D260+D261+D262</f>
        <v>19028854.399999999</v>
      </c>
      <c r="E258" s="80">
        <f>E259+E260+E261+E262</f>
        <v>19024579.32</v>
      </c>
      <c r="F258" s="614">
        <f t="shared" si="42"/>
        <v>0.99977533697456855</v>
      </c>
      <c r="G258" s="450" t="s">
        <v>48</v>
      </c>
      <c r="H258" s="450" t="s">
        <v>49</v>
      </c>
      <c r="I258" s="449" t="s">
        <v>882</v>
      </c>
      <c r="J258" s="451"/>
      <c r="K258" s="451"/>
    </row>
    <row r="259" spans="1:20" ht="12" customHeight="1" x14ac:dyDescent="0.25">
      <c r="A259" s="449"/>
      <c r="B259" s="450"/>
      <c r="C259" s="172" t="s">
        <v>30</v>
      </c>
      <c r="D259" s="15">
        <f>'[6]табл.8 уточнение 2021 04.02. '!$H$301</f>
        <v>19028854.399999999</v>
      </c>
      <c r="E259" s="132">
        <f>'31 12 2021'!M3+'31 12 2021'!M4+'31 12 2021'!M5+'31 12 2021'!M6+'31 12 2021'!M7+'31 12 2021'!M93</f>
        <v>19024579.32</v>
      </c>
      <c r="F259" s="614">
        <f t="shared" si="42"/>
        <v>0.99977533697456855</v>
      </c>
      <c r="G259" s="450"/>
      <c r="H259" s="450"/>
      <c r="I259" s="449"/>
      <c r="J259" s="451"/>
      <c r="K259" s="451"/>
    </row>
    <row r="260" spans="1:20" ht="12" customHeight="1" x14ac:dyDescent="0.25">
      <c r="A260" s="449"/>
      <c r="B260" s="450"/>
      <c r="C260" s="172" t="s">
        <v>32</v>
      </c>
      <c r="D260" s="15">
        <f>'[3]табл.8 11.10.21'!F277</f>
        <v>0</v>
      </c>
      <c r="E260" s="80"/>
      <c r="F260" s="614">
        <v>0</v>
      </c>
      <c r="G260" s="450"/>
      <c r="H260" s="450"/>
      <c r="I260" s="449"/>
      <c r="J260" s="451"/>
      <c r="K260" s="451"/>
    </row>
    <row r="261" spans="1:20" ht="12" customHeight="1" x14ac:dyDescent="0.25">
      <c r="A261" s="449"/>
      <c r="B261" s="450"/>
      <c r="C261" s="172" t="s">
        <v>34</v>
      </c>
      <c r="D261" s="15">
        <f>'[3]табл.8 11.10.21'!G277</f>
        <v>0</v>
      </c>
      <c r="E261" s="80"/>
      <c r="F261" s="614">
        <v>0</v>
      </c>
      <c r="G261" s="450"/>
      <c r="H261" s="450"/>
      <c r="I261" s="449"/>
      <c r="J261" s="451"/>
      <c r="K261" s="451"/>
    </row>
    <row r="262" spans="1:20" ht="12" customHeight="1" x14ac:dyDescent="0.25">
      <c r="A262" s="449"/>
      <c r="B262" s="450"/>
      <c r="C262" s="172" t="s">
        <v>36</v>
      </c>
      <c r="D262" s="15">
        <f>'[3]табл.8 11.10.21'!I277</f>
        <v>0</v>
      </c>
      <c r="E262" s="80"/>
      <c r="F262" s="614">
        <v>0</v>
      </c>
      <c r="G262" s="450"/>
      <c r="H262" s="450"/>
      <c r="I262" s="449"/>
      <c r="J262" s="451"/>
      <c r="K262" s="451"/>
    </row>
    <row r="263" spans="1:20" s="70" customFormat="1" ht="12" customHeight="1" x14ac:dyDescent="0.25">
      <c r="A263" s="462" t="s">
        <v>132</v>
      </c>
      <c r="B263" s="463" t="s">
        <v>133</v>
      </c>
      <c r="C263" s="93" t="s">
        <v>28</v>
      </c>
      <c r="D263" s="94">
        <f>D264+D265+D266+D267</f>
        <v>43484765.939999998</v>
      </c>
      <c r="E263" s="94">
        <f>E264+E265+E266+E267</f>
        <v>42297595.990000002</v>
      </c>
      <c r="F263" s="615">
        <f>E263/D263</f>
        <v>0.97269917580703902</v>
      </c>
      <c r="G263" s="464"/>
      <c r="H263" s="95" t="s">
        <v>39</v>
      </c>
      <c r="I263" s="93">
        <f>SUM(I264:I266)</f>
        <v>1</v>
      </c>
      <c r="J263" s="465" t="s">
        <v>885</v>
      </c>
      <c r="K263" s="465"/>
      <c r="L263" s="235"/>
      <c r="M263" s="235"/>
      <c r="N263" s="235"/>
      <c r="O263" s="235"/>
      <c r="P263" s="68"/>
      <c r="Q263" s="69"/>
      <c r="R263" s="69"/>
      <c r="S263" s="69"/>
      <c r="T263" s="69"/>
    </row>
    <row r="264" spans="1:20" s="76" customFormat="1" ht="12" customHeight="1" x14ac:dyDescent="0.25">
      <c r="A264" s="462"/>
      <c r="B264" s="463"/>
      <c r="C264" s="188" t="s">
        <v>30</v>
      </c>
      <c r="D264" s="97">
        <f>D269+D274+D279+D284+D289+D294</f>
        <v>0</v>
      </c>
      <c r="E264" s="97">
        <f>E269+E274+E279+E284+E289+E294</f>
        <v>0</v>
      </c>
      <c r="F264" s="616">
        <v>0</v>
      </c>
      <c r="G264" s="464"/>
      <c r="H264" s="98" t="s">
        <v>31</v>
      </c>
      <c r="I264" s="188">
        <v>1</v>
      </c>
      <c r="J264" s="465"/>
      <c r="K264" s="465"/>
      <c r="L264" s="99"/>
      <c r="M264" s="99"/>
      <c r="N264" s="99"/>
      <c r="O264" s="99"/>
      <c r="P264" s="74"/>
      <c r="Q264" s="75"/>
      <c r="R264" s="75"/>
      <c r="S264" s="75"/>
      <c r="T264" s="75"/>
    </row>
    <row r="265" spans="1:20" s="76" customFormat="1" ht="12" customHeight="1" x14ac:dyDescent="0.25">
      <c r="A265" s="462"/>
      <c r="B265" s="463"/>
      <c r="C265" s="188" t="s">
        <v>32</v>
      </c>
      <c r="D265" s="97">
        <f t="shared" ref="D265:E267" si="44">D270+D275+D280+D285+D290+D295</f>
        <v>43484765.939999998</v>
      </c>
      <c r="E265" s="97">
        <f t="shared" si="44"/>
        <v>42297595.990000002</v>
      </c>
      <c r="F265" s="616">
        <f t="shared" ref="F265:F290" si="45">E265/D265</f>
        <v>0.97269917580703902</v>
      </c>
      <c r="G265" s="464"/>
      <c r="H265" s="98" t="s">
        <v>33</v>
      </c>
      <c r="I265" s="188">
        <v>0</v>
      </c>
      <c r="J265" s="465"/>
      <c r="K265" s="465"/>
      <c r="L265" s="99"/>
      <c r="M265" s="99"/>
      <c r="N265" s="99"/>
      <c r="O265" s="99"/>
      <c r="P265" s="75"/>
      <c r="Q265" s="75"/>
      <c r="R265" s="75"/>
      <c r="S265" s="75"/>
      <c r="T265" s="75"/>
    </row>
    <row r="266" spans="1:20" s="76" customFormat="1" ht="12" customHeight="1" x14ac:dyDescent="0.25">
      <c r="A266" s="462"/>
      <c r="B266" s="463"/>
      <c r="C266" s="188" t="s">
        <v>34</v>
      </c>
      <c r="D266" s="97">
        <f t="shared" si="44"/>
        <v>0</v>
      </c>
      <c r="E266" s="97">
        <f t="shared" si="44"/>
        <v>0</v>
      </c>
      <c r="F266" s="616">
        <v>0</v>
      </c>
      <c r="G266" s="464"/>
      <c r="H266" s="98" t="s">
        <v>35</v>
      </c>
      <c r="I266" s="188">
        <v>0</v>
      </c>
      <c r="J266" s="465"/>
      <c r="K266" s="465"/>
      <c r="L266" s="99"/>
      <c r="M266" s="99"/>
      <c r="N266" s="99"/>
      <c r="O266" s="99"/>
      <c r="P266" s="74"/>
      <c r="Q266" s="75"/>
      <c r="R266" s="75"/>
      <c r="S266" s="75"/>
      <c r="T266" s="75"/>
    </row>
    <row r="267" spans="1:20" s="76" customFormat="1" ht="12" customHeight="1" x14ac:dyDescent="0.25">
      <c r="A267" s="462"/>
      <c r="B267" s="463"/>
      <c r="C267" s="188" t="s">
        <v>36</v>
      </c>
      <c r="D267" s="97">
        <f t="shared" si="44"/>
        <v>0</v>
      </c>
      <c r="E267" s="97">
        <f t="shared" si="44"/>
        <v>0</v>
      </c>
      <c r="F267" s="616">
        <v>0</v>
      </c>
      <c r="G267" s="464"/>
      <c r="H267" s="98" t="s">
        <v>37</v>
      </c>
      <c r="I267" s="616">
        <f>(I34+0.5*I35)/I33*100%</f>
        <v>1</v>
      </c>
      <c r="J267" s="465"/>
      <c r="K267" s="465"/>
      <c r="L267" s="99"/>
      <c r="M267" s="99"/>
      <c r="N267" s="99"/>
      <c r="O267" s="99"/>
      <c r="P267" s="74"/>
      <c r="Q267" s="75"/>
      <c r="R267" s="75"/>
      <c r="S267" s="75"/>
      <c r="T267" s="75"/>
    </row>
    <row r="268" spans="1:20" s="22" customFormat="1" ht="12" customHeight="1" x14ac:dyDescent="0.25">
      <c r="A268" s="449" t="s">
        <v>134</v>
      </c>
      <c r="B268" s="450" t="s">
        <v>135</v>
      </c>
      <c r="C268" s="17" t="s">
        <v>28</v>
      </c>
      <c r="D268" s="18">
        <f>D269+D270+D271+D272</f>
        <v>7518000</v>
      </c>
      <c r="E268" s="78">
        <f>E269+E270+E271+E272</f>
        <v>7349878.04</v>
      </c>
      <c r="F268" s="617">
        <f t="shared" si="45"/>
        <v>0.9776374088853419</v>
      </c>
      <c r="G268" s="450" t="s">
        <v>48</v>
      </c>
      <c r="H268" s="450" t="s">
        <v>49</v>
      </c>
      <c r="I268" s="449" t="s">
        <v>882</v>
      </c>
      <c r="J268" s="451"/>
      <c r="K268" s="451"/>
      <c r="L268" s="45"/>
      <c r="M268" s="45"/>
      <c r="N268" s="45"/>
      <c r="O268" s="45"/>
      <c r="P268" s="20"/>
      <c r="Q268" s="21"/>
      <c r="R268" s="21"/>
      <c r="S268" s="21"/>
      <c r="T268" s="21"/>
    </row>
    <row r="269" spans="1:20" ht="12" customHeight="1" x14ac:dyDescent="0.25">
      <c r="A269" s="449"/>
      <c r="B269" s="450"/>
      <c r="C269" s="172" t="s">
        <v>30</v>
      </c>
      <c r="D269" s="15">
        <f>'[6]табл.8 уточнение 2021 04.02. '!$H$313</f>
        <v>0</v>
      </c>
      <c r="E269" s="80">
        <v>0</v>
      </c>
      <c r="F269" s="614">
        <v>0</v>
      </c>
      <c r="G269" s="450"/>
      <c r="H269" s="450"/>
      <c r="I269" s="449"/>
      <c r="J269" s="451"/>
      <c r="K269" s="451"/>
    </row>
    <row r="270" spans="1:20" ht="12" customHeight="1" x14ac:dyDescent="0.25">
      <c r="A270" s="449"/>
      <c r="B270" s="450"/>
      <c r="C270" s="172" t="s">
        <v>32</v>
      </c>
      <c r="D270" s="15">
        <f>'[6]табл.8 уточнение 2021 04.02. '!$F$313</f>
        <v>7518000</v>
      </c>
      <c r="E270" s="132">
        <f>'31 12 2021'!M134+'31 12 2021'!M135+'31 12 2021'!M136+'31 12 2021'!M137+'31 12 2021'!M138</f>
        <v>7349878.04</v>
      </c>
      <c r="F270" s="614">
        <f t="shared" si="45"/>
        <v>0.9776374088853419</v>
      </c>
      <c r="G270" s="450"/>
      <c r="H270" s="450"/>
      <c r="I270" s="449"/>
      <c r="J270" s="451"/>
      <c r="K270" s="451"/>
    </row>
    <row r="271" spans="1:20" ht="12" customHeight="1" x14ac:dyDescent="0.25">
      <c r="A271" s="449"/>
      <c r="B271" s="450"/>
      <c r="C271" s="172" t="s">
        <v>34</v>
      </c>
      <c r="D271" s="80">
        <f>'[3]табл.8 11.10.21'!G289</f>
        <v>0</v>
      </c>
      <c r="E271" s="80">
        <v>0</v>
      </c>
      <c r="F271" s="614">
        <v>0</v>
      </c>
      <c r="G271" s="450"/>
      <c r="H271" s="450"/>
      <c r="I271" s="449"/>
      <c r="J271" s="451"/>
      <c r="K271" s="451"/>
    </row>
    <row r="272" spans="1:20" ht="12" customHeight="1" x14ac:dyDescent="0.25">
      <c r="A272" s="449"/>
      <c r="B272" s="450"/>
      <c r="C272" s="172" t="s">
        <v>36</v>
      </c>
      <c r="D272" s="80">
        <f>'[3]табл.8 11.10.21'!I289</f>
        <v>0</v>
      </c>
      <c r="E272" s="80">
        <v>0</v>
      </c>
      <c r="F272" s="614">
        <v>0</v>
      </c>
      <c r="G272" s="450"/>
      <c r="H272" s="450"/>
      <c r="I272" s="449"/>
      <c r="J272" s="451"/>
      <c r="K272" s="451"/>
    </row>
    <row r="273" spans="1:20" s="22" customFormat="1" ht="12.75" customHeight="1" x14ac:dyDescent="0.25">
      <c r="A273" s="449" t="s">
        <v>136</v>
      </c>
      <c r="B273" s="450" t="s">
        <v>137</v>
      </c>
      <c r="C273" s="17" t="s">
        <v>28</v>
      </c>
      <c r="D273" s="78">
        <f>D274+D275+D276+D277</f>
        <v>85565.94</v>
      </c>
      <c r="E273" s="78">
        <f>E274+E275+E276+E277</f>
        <v>0</v>
      </c>
      <c r="F273" s="617">
        <f t="shared" si="45"/>
        <v>0</v>
      </c>
      <c r="G273" s="450" t="s">
        <v>48</v>
      </c>
      <c r="H273" s="450" t="s">
        <v>49</v>
      </c>
      <c r="I273" s="449" t="s">
        <v>884</v>
      </c>
      <c r="J273" s="451" t="s">
        <v>891</v>
      </c>
      <c r="K273" s="451"/>
      <c r="L273" s="45"/>
      <c r="M273" s="45"/>
      <c r="N273" s="45"/>
      <c r="O273" s="45"/>
      <c r="P273" s="20"/>
      <c r="Q273" s="21"/>
      <c r="R273" s="21"/>
      <c r="S273" s="21"/>
      <c r="T273" s="21"/>
    </row>
    <row r="274" spans="1:20" ht="12" customHeight="1" x14ac:dyDescent="0.25">
      <c r="A274" s="449"/>
      <c r="B274" s="450"/>
      <c r="C274" s="172" t="s">
        <v>30</v>
      </c>
      <c r="D274" s="80">
        <f>'[6]табл.8 уточнение 2021 04.02. '!$H$319</f>
        <v>0</v>
      </c>
      <c r="E274" s="80">
        <v>0</v>
      </c>
      <c r="F274" s="614">
        <v>0</v>
      </c>
      <c r="G274" s="450"/>
      <c r="H274" s="450"/>
      <c r="I274" s="449"/>
      <c r="J274" s="451"/>
      <c r="K274" s="451"/>
    </row>
    <row r="275" spans="1:20" ht="12" customHeight="1" x14ac:dyDescent="0.25">
      <c r="A275" s="449"/>
      <c r="B275" s="450"/>
      <c r="C275" s="172" t="s">
        <v>32</v>
      </c>
      <c r="D275" s="80">
        <f>'[6]табл.8 уточнение 2021 04.02. '!$F$319</f>
        <v>85565.94</v>
      </c>
      <c r="E275" s="132">
        <f>'31 12 2021'!M125</f>
        <v>0</v>
      </c>
      <c r="F275" s="614">
        <f t="shared" si="45"/>
        <v>0</v>
      </c>
      <c r="G275" s="450"/>
      <c r="H275" s="450"/>
      <c r="I275" s="449"/>
      <c r="J275" s="451"/>
      <c r="K275" s="451"/>
    </row>
    <row r="276" spans="1:20" ht="12" customHeight="1" x14ac:dyDescent="0.25">
      <c r="A276" s="449"/>
      <c r="B276" s="450"/>
      <c r="C276" s="172" t="s">
        <v>34</v>
      </c>
      <c r="D276" s="80">
        <f>'[3]табл.8 11.10.21'!G295</f>
        <v>0</v>
      </c>
      <c r="E276" s="80">
        <v>0</v>
      </c>
      <c r="F276" s="614">
        <v>0</v>
      </c>
      <c r="G276" s="450"/>
      <c r="H276" s="450"/>
      <c r="I276" s="449"/>
      <c r="J276" s="451"/>
      <c r="K276" s="451"/>
    </row>
    <row r="277" spans="1:20" ht="12" customHeight="1" x14ac:dyDescent="0.25">
      <c r="A277" s="449"/>
      <c r="B277" s="450"/>
      <c r="C277" s="172" t="s">
        <v>36</v>
      </c>
      <c r="D277" s="80">
        <f>'[3]табл.8 11.10.21'!I295</f>
        <v>0</v>
      </c>
      <c r="E277" s="80">
        <v>0</v>
      </c>
      <c r="F277" s="614">
        <v>0</v>
      </c>
      <c r="G277" s="450"/>
      <c r="H277" s="450"/>
      <c r="I277" s="449"/>
      <c r="J277" s="451"/>
      <c r="K277" s="451"/>
    </row>
    <row r="278" spans="1:20" s="22" customFormat="1" ht="12" customHeight="1" x14ac:dyDescent="0.25">
      <c r="A278" s="449" t="s">
        <v>138</v>
      </c>
      <c r="B278" s="450" t="s">
        <v>139</v>
      </c>
      <c r="C278" s="17" t="s">
        <v>28</v>
      </c>
      <c r="D278" s="18">
        <f>D279+D280+D281+D282</f>
        <v>1461100</v>
      </c>
      <c r="E278" s="78">
        <f>E279+E280+E281+E282</f>
        <v>1264499.56</v>
      </c>
      <c r="F278" s="617">
        <f t="shared" si="45"/>
        <v>0.86544354253644518</v>
      </c>
      <c r="G278" s="450" t="s">
        <v>48</v>
      </c>
      <c r="H278" s="450" t="s">
        <v>49</v>
      </c>
      <c r="I278" s="449" t="s">
        <v>881</v>
      </c>
      <c r="J278" s="451" t="s">
        <v>890</v>
      </c>
      <c r="K278" s="451"/>
      <c r="L278" s="45"/>
      <c r="M278" s="45"/>
      <c r="N278" s="45"/>
      <c r="O278" s="45"/>
      <c r="P278" s="20"/>
      <c r="Q278" s="21"/>
      <c r="R278" s="21"/>
      <c r="S278" s="21"/>
      <c r="T278" s="21"/>
    </row>
    <row r="279" spans="1:20" ht="12" customHeight="1" x14ac:dyDescent="0.25">
      <c r="A279" s="449"/>
      <c r="B279" s="450"/>
      <c r="C279" s="172" t="s">
        <v>30</v>
      </c>
      <c r="D279" s="15">
        <f>'[3]табл.8 11.10.21'!H301</f>
        <v>0</v>
      </c>
      <c r="E279" s="80">
        <v>0</v>
      </c>
      <c r="F279" s="614">
        <v>0</v>
      </c>
      <c r="G279" s="450"/>
      <c r="H279" s="450"/>
      <c r="I279" s="449"/>
      <c r="J279" s="451"/>
      <c r="K279" s="451"/>
    </row>
    <row r="280" spans="1:20" ht="12" customHeight="1" x14ac:dyDescent="0.25">
      <c r="A280" s="449"/>
      <c r="B280" s="450"/>
      <c r="C280" s="172" t="s">
        <v>32</v>
      </c>
      <c r="D280" s="15">
        <f>'[6]табл.8 уточнение 2021 04.02. '!$F$325</f>
        <v>1461100</v>
      </c>
      <c r="E280" s="132">
        <f>'31 12 2021'!M121+'31 12 2021'!M122+'31 12 2021'!M123</f>
        <v>1264499.56</v>
      </c>
      <c r="F280" s="614">
        <f t="shared" si="45"/>
        <v>0.86544354253644518</v>
      </c>
      <c r="G280" s="450"/>
      <c r="H280" s="450"/>
      <c r="I280" s="449"/>
      <c r="J280" s="451"/>
      <c r="K280" s="451"/>
    </row>
    <row r="281" spans="1:20" ht="12" customHeight="1" x14ac:dyDescent="0.25">
      <c r="A281" s="449"/>
      <c r="B281" s="450"/>
      <c r="C281" s="172" t="s">
        <v>34</v>
      </c>
      <c r="D281" s="15">
        <f>'[3]табл.8 11.10.21'!G301</f>
        <v>0</v>
      </c>
      <c r="E281" s="80">
        <v>0</v>
      </c>
      <c r="F281" s="614">
        <v>0</v>
      </c>
      <c r="G281" s="450"/>
      <c r="H281" s="450"/>
      <c r="I281" s="449"/>
      <c r="J281" s="451"/>
      <c r="K281" s="451"/>
    </row>
    <row r="282" spans="1:20" ht="12" customHeight="1" x14ac:dyDescent="0.25">
      <c r="A282" s="449"/>
      <c r="B282" s="450"/>
      <c r="C282" s="172" t="s">
        <v>36</v>
      </c>
      <c r="D282" s="15">
        <f>'[3]табл.8 11.10.21'!I301</f>
        <v>0</v>
      </c>
      <c r="E282" s="80">
        <v>0</v>
      </c>
      <c r="F282" s="614">
        <v>0</v>
      </c>
      <c r="G282" s="450"/>
      <c r="H282" s="450"/>
      <c r="I282" s="449"/>
      <c r="J282" s="451"/>
      <c r="K282" s="451"/>
    </row>
    <row r="283" spans="1:20" s="22" customFormat="1" ht="12" customHeight="1" x14ac:dyDescent="0.25">
      <c r="A283" s="449" t="s">
        <v>140</v>
      </c>
      <c r="B283" s="450" t="s">
        <v>141</v>
      </c>
      <c r="C283" s="17" t="s">
        <v>28</v>
      </c>
      <c r="D283" s="18">
        <f>D284+D285+D286+D287</f>
        <v>305000</v>
      </c>
      <c r="E283" s="78">
        <f>E284+E285+E286+E287</f>
        <v>295000</v>
      </c>
      <c r="F283" s="617">
        <f t="shared" si="45"/>
        <v>0.96721311475409832</v>
      </c>
      <c r="G283" s="450" t="s">
        <v>48</v>
      </c>
      <c r="H283" s="450" t="s">
        <v>49</v>
      </c>
      <c r="I283" s="449" t="s">
        <v>882</v>
      </c>
      <c r="J283" s="451" t="s">
        <v>892</v>
      </c>
      <c r="K283" s="451"/>
      <c r="L283" s="45"/>
      <c r="M283" s="45"/>
      <c r="N283" s="45"/>
      <c r="O283" s="45"/>
      <c r="P283" s="20"/>
      <c r="Q283" s="21"/>
      <c r="R283" s="21"/>
      <c r="S283" s="21"/>
      <c r="T283" s="21"/>
    </row>
    <row r="284" spans="1:20" ht="12" customHeight="1" x14ac:dyDescent="0.25">
      <c r="A284" s="449"/>
      <c r="B284" s="450"/>
      <c r="C284" s="172" t="s">
        <v>30</v>
      </c>
      <c r="D284" s="15">
        <f>'[3]табл.8 11.10.21'!H307</f>
        <v>0</v>
      </c>
      <c r="E284" s="80">
        <v>0</v>
      </c>
      <c r="F284" s="614">
        <v>0</v>
      </c>
      <c r="G284" s="450"/>
      <c r="H284" s="450"/>
      <c r="I284" s="449"/>
      <c r="J284" s="451"/>
      <c r="K284" s="451"/>
    </row>
    <row r="285" spans="1:20" ht="12" customHeight="1" x14ac:dyDescent="0.25">
      <c r="A285" s="449"/>
      <c r="B285" s="450"/>
      <c r="C285" s="172" t="s">
        <v>32</v>
      </c>
      <c r="D285" s="15">
        <f>'[6]табл.8 уточнение 2021 04.02. '!$F$331</f>
        <v>305000</v>
      </c>
      <c r="E285" s="132">
        <f>'31 12 2021'!M124</f>
        <v>295000</v>
      </c>
      <c r="F285" s="614">
        <f t="shared" si="45"/>
        <v>0.96721311475409832</v>
      </c>
      <c r="G285" s="450"/>
      <c r="H285" s="450"/>
      <c r="I285" s="449"/>
      <c r="J285" s="451"/>
      <c r="K285" s="451"/>
    </row>
    <row r="286" spans="1:20" ht="12" customHeight="1" x14ac:dyDescent="0.25">
      <c r="A286" s="449"/>
      <c r="B286" s="450"/>
      <c r="C286" s="172" t="s">
        <v>34</v>
      </c>
      <c r="D286" s="15">
        <f>'[3]табл.8 11.10.21'!G307</f>
        <v>0</v>
      </c>
      <c r="E286" s="80">
        <v>0</v>
      </c>
      <c r="F286" s="614">
        <v>0</v>
      </c>
      <c r="G286" s="450"/>
      <c r="H286" s="450"/>
      <c r="I286" s="449"/>
      <c r="J286" s="451"/>
      <c r="K286" s="451"/>
    </row>
    <row r="287" spans="1:20" ht="12" customHeight="1" x14ac:dyDescent="0.25">
      <c r="A287" s="449"/>
      <c r="B287" s="450"/>
      <c r="C287" s="172" t="s">
        <v>36</v>
      </c>
      <c r="D287" s="15">
        <f>'[3]табл.8 11.10.21'!I307</f>
        <v>0</v>
      </c>
      <c r="E287" s="80">
        <v>0</v>
      </c>
      <c r="F287" s="614">
        <v>0</v>
      </c>
      <c r="G287" s="450"/>
      <c r="H287" s="450"/>
      <c r="I287" s="449"/>
      <c r="J287" s="451"/>
      <c r="K287" s="451"/>
    </row>
    <row r="288" spans="1:20" s="22" customFormat="1" ht="12" customHeight="1" x14ac:dyDescent="0.25">
      <c r="A288" s="449" t="s">
        <v>142</v>
      </c>
      <c r="B288" s="450" t="s">
        <v>143</v>
      </c>
      <c r="C288" s="17" t="s">
        <v>28</v>
      </c>
      <c r="D288" s="18">
        <f>D289+D290+D291+D292</f>
        <v>519500</v>
      </c>
      <c r="E288" s="78">
        <f>E289+E290+E291+E292</f>
        <v>464755.22</v>
      </c>
      <c r="F288" s="617">
        <f t="shared" si="45"/>
        <v>0.89462025024061598</v>
      </c>
      <c r="G288" s="450" t="s">
        <v>48</v>
      </c>
      <c r="H288" s="450" t="s">
        <v>49</v>
      </c>
      <c r="I288" s="449" t="s">
        <v>881</v>
      </c>
      <c r="J288" s="451" t="s">
        <v>890</v>
      </c>
      <c r="K288" s="451"/>
      <c r="L288" s="45"/>
      <c r="M288" s="45"/>
      <c r="N288" s="45"/>
      <c r="O288" s="45"/>
      <c r="P288" s="20"/>
      <c r="Q288" s="21"/>
      <c r="R288" s="21"/>
      <c r="S288" s="21"/>
      <c r="T288" s="21"/>
    </row>
    <row r="289" spans="1:20" ht="12" customHeight="1" x14ac:dyDescent="0.25">
      <c r="A289" s="449"/>
      <c r="B289" s="450"/>
      <c r="C289" s="172" t="s">
        <v>30</v>
      </c>
      <c r="D289" s="15">
        <f>'[3]табл.8 11.10.21'!H313</f>
        <v>0</v>
      </c>
      <c r="E289" s="80">
        <v>0</v>
      </c>
      <c r="F289" s="614">
        <v>0</v>
      </c>
      <c r="G289" s="450"/>
      <c r="H289" s="450"/>
      <c r="I289" s="449"/>
      <c r="J289" s="451"/>
      <c r="K289" s="451"/>
    </row>
    <row r="290" spans="1:20" ht="12" customHeight="1" x14ac:dyDescent="0.25">
      <c r="A290" s="449"/>
      <c r="B290" s="450"/>
      <c r="C290" s="172" t="s">
        <v>32</v>
      </c>
      <c r="D290" s="15">
        <f>'[6]табл.8 уточнение 2021 04.02. '!$F$337</f>
        <v>519500</v>
      </c>
      <c r="E290" s="132">
        <f>'31 12 2021'!M132</f>
        <v>464755.22</v>
      </c>
      <c r="F290" s="614">
        <f t="shared" si="45"/>
        <v>0.89462025024061598</v>
      </c>
      <c r="G290" s="450"/>
      <c r="H290" s="450"/>
      <c r="I290" s="449"/>
      <c r="J290" s="451"/>
      <c r="K290" s="451"/>
    </row>
    <row r="291" spans="1:20" ht="12" customHeight="1" x14ac:dyDescent="0.25">
      <c r="A291" s="449"/>
      <c r="B291" s="450"/>
      <c r="C291" s="172" t="s">
        <v>34</v>
      </c>
      <c r="D291" s="15">
        <f>'[3]табл.8 11.10.21'!G313</f>
        <v>0</v>
      </c>
      <c r="E291" s="132">
        <v>0</v>
      </c>
      <c r="F291" s="614">
        <v>0</v>
      </c>
      <c r="G291" s="450"/>
      <c r="H291" s="450"/>
      <c r="I291" s="449"/>
      <c r="J291" s="451"/>
      <c r="K291" s="451"/>
    </row>
    <row r="292" spans="1:20" ht="12" customHeight="1" x14ac:dyDescent="0.25">
      <c r="A292" s="449"/>
      <c r="B292" s="450"/>
      <c r="C292" s="172" t="s">
        <v>36</v>
      </c>
      <c r="D292" s="15">
        <f>'[3]табл.8 11.10.21'!I313</f>
        <v>0</v>
      </c>
      <c r="E292" s="80">
        <v>0</v>
      </c>
      <c r="F292" s="614">
        <v>0</v>
      </c>
      <c r="G292" s="450"/>
      <c r="H292" s="450"/>
      <c r="I292" s="449"/>
      <c r="J292" s="451"/>
      <c r="K292" s="451"/>
    </row>
    <row r="293" spans="1:20" s="22" customFormat="1" ht="12" customHeight="1" x14ac:dyDescent="0.25">
      <c r="A293" s="449" t="s">
        <v>144</v>
      </c>
      <c r="B293" s="450" t="s">
        <v>145</v>
      </c>
      <c r="C293" s="17" t="s">
        <v>28</v>
      </c>
      <c r="D293" s="18">
        <f>D294+D295+D296+D297</f>
        <v>33595600</v>
      </c>
      <c r="E293" s="78">
        <f>E294+E295+E296+E297</f>
        <v>32923463.170000002</v>
      </c>
      <c r="F293" s="617">
        <f t="shared" ref="F293:F295" si="46">E293/D293</f>
        <v>0.97999330775458693</v>
      </c>
      <c r="G293" s="450" t="s">
        <v>48</v>
      </c>
      <c r="H293" s="450" t="s">
        <v>49</v>
      </c>
      <c r="I293" s="449" t="s">
        <v>882</v>
      </c>
      <c r="J293" s="451"/>
      <c r="K293" s="451"/>
      <c r="L293" s="45"/>
      <c r="M293" s="45"/>
      <c r="N293" s="45"/>
      <c r="O293" s="45"/>
      <c r="P293" s="20"/>
      <c r="Q293" s="21"/>
      <c r="R293" s="21"/>
      <c r="S293" s="21"/>
      <c r="T293" s="21"/>
    </row>
    <row r="294" spans="1:20" ht="12" customHeight="1" x14ac:dyDescent="0.25">
      <c r="A294" s="449"/>
      <c r="B294" s="450"/>
      <c r="C294" s="172" t="s">
        <v>30</v>
      </c>
      <c r="D294" s="15">
        <f>'[3]табл.8 11.10.21'!H319</f>
        <v>0</v>
      </c>
      <c r="E294" s="80">
        <v>0</v>
      </c>
      <c r="F294" s="614">
        <v>0</v>
      </c>
      <c r="G294" s="450"/>
      <c r="H294" s="450"/>
      <c r="I294" s="449"/>
      <c r="J294" s="451"/>
      <c r="K294" s="451"/>
    </row>
    <row r="295" spans="1:20" ht="12" customHeight="1" x14ac:dyDescent="0.25">
      <c r="A295" s="449"/>
      <c r="B295" s="450"/>
      <c r="C295" s="172" t="s">
        <v>32</v>
      </c>
      <c r="D295" s="33">
        <f>'[6]табл.8 уточнение 2021 04.02. '!$F$343</f>
        <v>33595600</v>
      </c>
      <c r="E295" s="132">
        <f>'31 12 2021'!M130+'31 12 2021'!M131+'31 12 2021'!M133</f>
        <v>32923463.170000002</v>
      </c>
      <c r="F295" s="614">
        <f t="shared" si="46"/>
        <v>0.97999330775458693</v>
      </c>
      <c r="G295" s="450"/>
      <c r="H295" s="450"/>
      <c r="I295" s="449"/>
      <c r="J295" s="451"/>
      <c r="K295" s="451"/>
    </row>
    <row r="296" spans="1:20" ht="12" customHeight="1" x14ac:dyDescent="0.25">
      <c r="A296" s="449"/>
      <c r="B296" s="450"/>
      <c r="C296" s="172" t="s">
        <v>34</v>
      </c>
      <c r="D296" s="15">
        <f>'[3]табл.8 11.10.21'!G319</f>
        <v>0</v>
      </c>
      <c r="E296" s="80">
        <v>0</v>
      </c>
      <c r="F296" s="614">
        <v>0</v>
      </c>
      <c r="G296" s="450"/>
      <c r="H296" s="450"/>
      <c r="I296" s="449"/>
      <c r="J296" s="451"/>
      <c r="K296" s="451"/>
    </row>
    <row r="297" spans="1:20" ht="12" customHeight="1" x14ac:dyDescent="0.25">
      <c r="A297" s="449"/>
      <c r="B297" s="450"/>
      <c r="C297" s="172" t="s">
        <v>36</v>
      </c>
      <c r="D297" s="15">
        <f>'[3]табл.8 11.10.21'!I319</f>
        <v>0</v>
      </c>
      <c r="E297" s="80">
        <v>0</v>
      </c>
      <c r="F297" s="614">
        <v>0</v>
      </c>
      <c r="G297" s="450"/>
      <c r="H297" s="450"/>
      <c r="I297" s="449"/>
      <c r="J297" s="451"/>
      <c r="K297" s="451"/>
    </row>
    <row r="298" spans="1:20" s="22" customFormat="1" ht="16.5" customHeight="1" x14ac:dyDescent="0.25">
      <c r="A298" s="458" t="s">
        <v>146</v>
      </c>
      <c r="B298" s="459" t="s">
        <v>147</v>
      </c>
      <c r="C298" s="101" t="s">
        <v>28</v>
      </c>
      <c r="D298" s="102">
        <f>D299+D300+D301+D302</f>
        <v>205605390.24000001</v>
      </c>
      <c r="E298" s="333">
        <f>E299+E300+E301+E302</f>
        <v>196636879.40000004</v>
      </c>
      <c r="F298" s="618">
        <f>E298/D298</f>
        <v>0.95637998191812401</v>
      </c>
      <c r="G298" s="460"/>
      <c r="H298" s="103" t="s">
        <v>39</v>
      </c>
      <c r="I298" s="101">
        <f>SUM(I299:I301)</f>
        <v>4</v>
      </c>
      <c r="J298" s="461" t="s">
        <v>883</v>
      </c>
      <c r="K298" s="461"/>
      <c r="L298" s="45"/>
      <c r="M298" s="45"/>
      <c r="N298" s="45"/>
      <c r="O298" s="45"/>
      <c r="P298" s="20"/>
      <c r="Q298" s="21"/>
      <c r="R298" s="21"/>
      <c r="S298" s="21"/>
      <c r="T298" s="21"/>
    </row>
    <row r="299" spans="1:20" ht="16.5" customHeight="1" x14ac:dyDescent="0.25">
      <c r="A299" s="458"/>
      <c r="B299" s="459"/>
      <c r="C299" s="191" t="s">
        <v>30</v>
      </c>
      <c r="D299" s="105">
        <f>D304+D319+D329+D359</f>
        <v>115565201.43000001</v>
      </c>
      <c r="E299" s="334">
        <f>E304+E319+E329+E359</f>
        <v>115459677.98000002</v>
      </c>
      <c r="F299" s="619">
        <f t="shared" ref="F299:F302" si="47">E299/D299</f>
        <v>0.99908689251873195</v>
      </c>
      <c r="G299" s="460"/>
      <c r="H299" s="190" t="s">
        <v>31</v>
      </c>
      <c r="I299" s="191">
        <f>I304+I319+I329+I359</f>
        <v>2</v>
      </c>
      <c r="J299" s="461"/>
      <c r="K299" s="461"/>
    </row>
    <row r="300" spans="1:20" ht="16.5" customHeight="1" x14ac:dyDescent="0.25">
      <c r="A300" s="458"/>
      <c r="B300" s="459"/>
      <c r="C300" s="191" t="s">
        <v>32</v>
      </c>
      <c r="D300" s="105">
        <f t="shared" ref="D300:E302" si="48">D305+D320+D330+D360</f>
        <v>36754517.259999998</v>
      </c>
      <c r="E300" s="334">
        <f t="shared" si="48"/>
        <v>31442646.508699998</v>
      </c>
      <c r="F300" s="619">
        <f t="shared" si="47"/>
        <v>0.85547706384703581</v>
      </c>
      <c r="G300" s="460"/>
      <c r="H300" s="190" t="s">
        <v>33</v>
      </c>
      <c r="I300" s="237">
        <f t="shared" ref="I300:I301" si="49">I305+I320+I330+I360</f>
        <v>2</v>
      </c>
      <c r="J300" s="461"/>
      <c r="K300" s="461"/>
    </row>
    <row r="301" spans="1:20" ht="16.5" customHeight="1" x14ac:dyDescent="0.25">
      <c r="A301" s="458"/>
      <c r="B301" s="459"/>
      <c r="C301" s="191" t="s">
        <v>34</v>
      </c>
      <c r="D301" s="105">
        <f t="shared" si="48"/>
        <v>24929935</v>
      </c>
      <c r="E301" s="334">
        <f t="shared" si="48"/>
        <v>21437860.721300002</v>
      </c>
      <c r="F301" s="619">
        <f t="shared" si="47"/>
        <v>0.8599244531243263</v>
      </c>
      <c r="G301" s="460"/>
      <c r="H301" s="190" t="s">
        <v>35</v>
      </c>
      <c r="I301" s="237">
        <f t="shared" si="49"/>
        <v>0</v>
      </c>
      <c r="J301" s="461"/>
      <c r="K301" s="461"/>
    </row>
    <row r="302" spans="1:20" ht="16.5" customHeight="1" x14ac:dyDescent="0.25">
      <c r="A302" s="458"/>
      <c r="B302" s="459"/>
      <c r="C302" s="191" t="s">
        <v>36</v>
      </c>
      <c r="D302" s="105">
        <f>D307+D322+D332+D362</f>
        <v>28355736.550000001</v>
      </c>
      <c r="E302" s="334">
        <f t="shared" si="48"/>
        <v>28296694.190000001</v>
      </c>
      <c r="F302" s="619">
        <f t="shared" si="47"/>
        <v>0.99791779840047923</v>
      </c>
      <c r="G302" s="460"/>
      <c r="H302" s="190" t="s">
        <v>37</v>
      </c>
      <c r="I302" s="619">
        <f>(I34+0.5*I35)/I33*100%</f>
        <v>1</v>
      </c>
      <c r="J302" s="461"/>
      <c r="K302" s="461"/>
    </row>
    <row r="303" spans="1:20" s="22" customFormat="1" ht="12" customHeight="1" x14ac:dyDescent="0.25">
      <c r="A303" s="453" t="s">
        <v>148</v>
      </c>
      <c r="B303" s="454" t="s">
        <v>149</v>
      </c>
      <c r="C303" s="107" t="s">
        <v>28</v>
      </c>
      <c r="D303" s="108">
        <f>D304+D305+D306+D307</f>
        <v>21566315.93</v>
      </c>
      <c r="E303" s="127">
        <f>E304+E305+E306+E307</f>
        <v>21566315.93</v>
      </c>
      <c r="F303" s="620">
        <f>E303/D303</f>
        <v>1</v>
      </c>
      <c r="G303" s="455"/>
      <c r="H303" s="109" t="s">
        <v>39</v>
      </c>
      <c r="I303" s="107">
        <f>SUM(I304:I306)</f>
        <v>1</v>
      </c>
      <c r="J303" s="456" t="s">
        <v>877</v>
      </c>
      <c r="K303" s="456"/>
      <c r="L303" s="45"/>
      <c r="M303" s="45"/>
      <c r="N303" s="45"/>
      <c r="O303" s="45"/>
      <c r="P303" s="21"/>
      <c r="Q303" s="21"/>
      <c r="R303" s="21"/>
      <c r="S303" s="21"/>
      <c r="T303" s="21"/>
    </row>
    <row r="304" spans="1:20" ht="12" customHeight="1" x14ac:dyDescent="0.25">
      <c r="A304" s="453"/>
      <c r="B304" s="454"/>
      <c r="C304" s="192" t="s">
        <v>30</v>
      </c>
      <c r="D304" s="111">
        <f>D309+D314</f>
        <v>21535382.210000001</v>
      </c>
      <c r="E304" s="130">
        <f>E309+E314</f>
        <v>21535382.210000001</v>
      </c>
      <c r="F304" s="621">
        <f t="shared" ref="F304:F315" si="50">E304/D304</f>
        <v>1</v>
      </c>
      <c r="G304" s="455"/>
      <c r="H304" s="112" t="s">
        <v>31</v>
      </c>
      <c r="I304" s="192">
        <v>1</v>
      </c>
      <c r="J304" s="456"/>
      <c r="K304" s="456"/>
    </row>
    <row r="305" spans="1:20" ht="12" customHeight="1" x14ac:dyDescent="0.25">
      <c r="A305" s="453"/>
      <c r="B305" s="454"/>
      <c r="C305" s="192" t="s">
        <v>32</v>
      </c>
      <c r="D305" s="111">
        <f t="shared" ref="D305:E306" si="51">D310+D315</f>
        <v>30933.72</v>
      </c>
      <c r="E305" s="130">
        <f t="shared" si="51"/>
        <v>30933.72</v>
      </c>
      <c r="F305" s="621">
        <f t="shared" si="50"/>
        <v>1</v>
      </c>
      <c r="G305" s="455"/>
      <c r="H305" s="112" t="s">
        <v>33</v>
      </c>
      <c r="I305" s="192">
        <v>0</v>
      </c>
      <c r="J305" s="456"/>
      <c r="K305" s="456"/>
    </row>
    <row r="306" spans="1:20" ht="12" customHeight="1" x14ac:dyDescent="0.25">
      <c r="A306" s="453"/>
      <c r="B306" s="454"/>
      <c r="C306" s="192" t="s">
        <v>34</v>
      </c>
      <c r="D306" s="111">
        <f t="shared" si="51"/>
        <v>0</v>
      </c>
      <c r="E306" s="130">
        <f t="shared" si="51"/>
        <v>0</v>
      </c>
      <c r="F306" s="621">
        <v>0</v>
      </c>
      <c r="G306" s="455"/>
      <c r="H306" s="112" t="s">
        <v>35</v>
      </c>
      <c r="I306" s="192">
        <v>0</v>
      </c>
      <c r="J306" s="456"/>
      <c r="K306" s="456"/>
    </row>
    <row r="307" spans="1:20" ht="12" customHeight="1" x14ac:dyDescent="0.25">
      <c r="A307" s="453"/>
      <c r="B307" s="454"/>
      <c r="C307" s="192" t="s">
        <v>36</v>
      </c>
      <c r="D307" s="111">
        <f>D312+D317</f>
        <v>0</v>
      </c>
      <c r="E307" s="130">
        <f>E312+E317</f>
        <v>0</v>
      </c>
      <c r="F307" s="621">
        <v>0</v>
      </c>
      <c r="G307" s="455"/>
      <c r="H307" s="112" t="s">
        <v>37</v>
      </c>
      <c r="I307" s="621">
        <f>(I34+0.5*I35)/I33*100%</f>
        <v>1</v>
      </c>
      <c r="J307" s="456"/>
      <c r="K307" s="456"/>
    </row>
    <row r="308" spans="1:20" s="22" customFormat="1" ht="12" customHeight="1" x14ac:dyDescent="0.25">
      <c r="A308" s="449" t="s">
        <v>150</v>
      </c>
      <c r="B308" s="450" t="s">
        <v>151</v>
      </c>
      <c r="C308" s="17" t="s">
        <v>28</v>
      </c>
      <c r="D308" s="18">
        <f>D309+D310+D311+D312</f>
        <v>21518604.640000001</v>
      </c>
      <c r="E308" s="78">
        <f>E309+E310+E311+E312</f>
        <v>21518604.640000001</v>
      </c>
      <c r="F308" s="617">
        <f t="shared" si="50"/>
        <v>1</v>
      </c>
      <c r="G308" s="450" t="s">
        <v>48</v>
      </c>
      <c r="H308" s="450" t="s">
        <v>49</v>
      </c>
      <c r="I308" s="449" t="s">
        <v>882</v>
      </c>
      <c r="J308" s="451"/>
      <c r="K308" s="451"/>
      <c r="L308" s="45"/>
      <c r="M308" s="45"/>
      <c r="N308" s="45"/>
      <c r="O308" s="45"/>
      <c r="P308" s="20"/>
      <c r="Q308" s="21"/>
      <c r="R308" s="21"/>
      <c r="S308" s="21"/>
      <c r="T308" s="21"/>
    </row>
    <row r="309" spans="1:20" ht="12" customHeight="1" x14ac:dyDescent="0.25">
      <c r="A309" s="449"/>
      <c r="B309" s="450"/>
      <c r="C309" s="172" t="s">
        <v>30</v>
      </c>
      <c r="D309" s="15">
        <f>'[6]табл.8 уточнение 2021 04.02. '!$H$361</f>
        <v>21518604.640000001</v>
      </c>
      <c r="E309" s="132">
        <f>'31 12 2021'!M101+'31 12 2021'!M102+'31 12 2021'!M94</f>
        <v>21518604.640000001</v>
      </c>
      <c r="F309" s="614">
        <f t="shared" si="50"/>
        <v>1</v>
      </c>
      <c r="G309" s="450"/>
      <c r="H309" s="450"/>
      <c r="I309" s="449"/>
      <c r="J309" s="451"/>
      <c r="K309" s="451"/>
    </row>
    <row r="310" spans="1:20" ht="12" customHeight="1" x14ac:dyDescent="0.25">
      <c r="A310" s="449"/>
      <c r="B310" s="450"/>
      <c r="C310" s="172" t="s">
        <v>32</v>
      </c>
      <c r="D310" s="15">
        <f>'[3]табл.8 11.10.21'!F337</f>
        <v>0</v>
      </c>
      <c r="E310" s="80">
        <v>0</v>
      </c>
      <c r="F310" s="614">
        <v>0</v>
      </c>
      <c r="G310" s="450"/>
      <c r="H310" s="450"/>
      <c r="I310" s="449"/>
      <c r="J310" s="451"/>
      <c r="K310" s="451"/>
    </row>
    <row r="311" spans="1:20" ht="12" customHeight="1" x14ac:dyDescent="0.25">
      <c r="A311" s="449"/>
      <c r="B311" s="450"/>
      <c r="C311" s="172" t="s">
        <v>34</v>
      </c>
      <c r="D311" s="15">
        <f>'[3]табл.8 11.10.21'!G337</f>
        <v>0</v>
      </c>
      <c r="E311" s="80">
        <v>0</v>
      </c>
      <c r="F311" s="614">
        <v>0</v>
      </c>
      <c r="G311" s="450"/>
      <c r="H311" s="450"/>
      <c r="I311" s="449"/>
      <c r="J311" s="451"/>
      <c r="K311" s="451"/>
    </row>
    <row r="312" spans="1:20" ht="12" customHeight="1" x14ac:dyDescent="0.25">
      <c r="A312" s="449"/>
      <c r="B312" s="450"/>
      <c r="C312" s="172" t="s">
        <v>36</v>
      </c>
      <c r="D312" s="15">
        <f>'[6]табл.8 уточнение 2021 04.02. '!$I$361</f>
        <v>0</v>
      </c>
      <c r="E312" s="132">
        <f>'[7]МП Образование ВБС 01.01.2021'!$E$109</f>
        <v>0</v>
      </c>
      <c r="F312" s="614">
        <v>0</v>
      </c>
      <c r="G312" s="450"/>
      <c r="H312" s="450"/>
      <c r="I312" s="449"/>
      <c r="J312" s="451"/>
      <c r="K312" s="451"/>
    </row>
    <row r="313" spans="1:20" s="22" customFormat="1" ht="12" customHeight="1" x14ac:dyDescent="0.25">
      <c r="A313" s="449" t="s">
        <v>152</v>
      </c>
      <c r="B313" s="450" t="s">
        <v>89</v>
      </c>
      <c r="C313" s="17" t="s">
        <v>28</v>
      </c>
      <c r="D313" s="18">
        <f>D314+D315+D316+D317</f>
        <v>47711.29</v>
      </c>
      <c r="E313" s="78">
        <f>E314+E315+E316+E317</f>
        <v>47711.29</v>
      </c>
      <c r="F313" s="617">
        <f t="shared" si="50"/>
        <v>1</v>
      </c>
      <c r="G313" s="450" t="s">
        <v>48</v>
      </c>
      <c r="H313" s="450" t="s">
        <v>49</v>
      </c>
      <c r="I313" s="449" t="s">
        <v>882</v>
      </c>
      <c r="J313" s="451"/>
      <c r="K313" s="451"/>
      <c r="L313" s="45"/>
      <c r="M313" s="45"/>
      <c r="N313" s="45"/>
      <c r="O313" s="45"/>
      <c r="P313" s="20"/>
      <c r="Q313" s="21"/>
      <c r="R313" s="21"/>
      <c r="S313" s="21"/>
      <c r="T313" s="21"/>
    </row>
    <row r="314" spans="1:20" ht="12" customHeight="1" x14ac:dyDescent="0.25">
      <c r="A314" s="449"/>
      <c r="B314" s="450"/>
      <c r="C314" s="172" t="s">
        <v>30</v>
      </c>
      <c r="D314" s="15">
        <f>'[6]табл.8 уточнение 2021 04.02. '!$H$367</f>
        <v>16777.57</v>
      </c>
      <c r="E314" s="132">
        <f>'31 12 2021'!M104+'31 12 2021'!M105</f>
        <v>16777.57</v>
      </c>
      <c r="F314" s="614">
        <f t="shared" si="50"/>
        <v>1</v>
      </c>
      <c r="G314" s="450"/>
      <c r="H314" s="450"/>
      <c r="I314" s="449"/>
      <c r="J314" s="451"/>
      <c r="K314" s="451"/>
    </row>
    <row r="315" spans="1:20" ht="12" customHeight="1" x14ac:dyDescent="0.25">
      <c r="A315" s="449"/>
      <c r="B315" s="450"/>
      <c r="C315" s="172" t="s">
        <v>32</v>
      </c>
      <c r="D315" s="15">
        <f>'[6]табл.8 уточнение 2021 04.02. '!$F$367</f>
        <v>30933.72</v>
      </c>
      <c r="E315" s="132">
        <f>'31 12 2021'!M103</f>
        <v>30933.72</v>
      </c>
      <c r="F315" s="614">
        <f t="shared" si="50"/>
        <v>1</v>
      </c>
      <c r="G315" s="450"/>
      <c r="H315" s="450"/>
      <c r="I315" s="449"/>
      <c r="J315" s="451"/>
      <c r="K315" s="451"/>
    </row>
    <row r="316" spans="1:20" ht="12" customHeight="1" x14ac:dyDescent="0.25">
      <c r="A316" s="449"/>
      <c r="B316" s="450"/>
      <c r="C316" s="172" t="s">
        <v>34</v>
      </c>
      <c r="D316" s="15">
        <f>'[3]табл.8 11.10.21'!G343</f>
        <v>0</v>
      </c>
      <c r="E316" s="80">
        <v>0</v>
      </c>
      <c r="F316" s="614">
        <v>0</v>
      </c>
      <c r="G316" s="450"/>
      <c r="H316" s="450"/>
      <c r="I316" s="449"/>
      <c r="J316" s="451"/>
      <c r="K316" s="451"/>
    </row>
    <row r="317" spans="1:20" ht="12" customHeight="1" x14ac:dyDescent="0.25">
      <c r="A317" s="449"/>
      <c r="B317" s="450"/>
      <c r="C317" s="172" t="s">
        <v>36</v>
      </c>
      <c r="D317" s="15">
        <f>'[3]табл.8 11.10.21'!I343</f>
        <v>0</v>
      </c>
      <c r="E317" s="80">
        <v>0</v>
      </c>
      <c r="F317" s="614">
        <v>0</v>
      </c>
      <c r="G317" s="450"/>
      <c r="H317" s="450"/>
      <c r="I317" s="449"/>
      <c r="J317" s="451"/>
      <c r="K317" s="451"/>
    </row>
    <row r="318" spans="1:20" s="70" customFormat="1" ht="12" customHeight="1" x14ac:dyDescent="0.25">
      <c r="A318" s="436" t="s">
        <v>153</v>
      </c>
      <c r="B318" s="437" t="s">
        <v>154</v>
      </c>
      <c r="C318" s="126" t="s">
        <v>28</v>
      </c>
      <c r="D318" s="127">
        <f>D319+D320+D321+D322</f>
        <v>51248845.75</v>
      </c>
      <c r="E318" s="127">
        <f>E319+E320+E321+E322</f>
        <v>51248845.75</v>
      </c>
      <c r="F318" s="622">
        <f>E318/D318</f>
        <v>1</v>
      </c>
      <c r="G318" s="438"/>
      <c r="H318" s="128" t="s">
        <v>39</v>
      </c>
      <c r="I318" s="126">
        <f>SUM(I319:I321)</f>
        <v>1</v>
      </c>
      <c r="J318" s="540" t="s">
        <v>879</v>
      </c>
      <c r="K318" s="439"/>
      <c r="L318" s="235"/>
      <c r="M318" s="235"/>
      <c r="N318" s="235"/>
      <c r="O318" s="235"/>
      <c r="P318" s="68"/>
      <c r="Q318" s="69"/>
      <c r="R318" s="69"/>
      <c r="S318" s="69"/>
      <c r="T318" s="69"/>
    </row>
    <row r="319" spans="1:20" s="76" customFormat="1" ht="12" customHeight="1" x14ac:dyDescent="0.25">
      <c r="A319" s="436"/>
      <c r="B319" s="437"/>
      <c r="C319" s="193" t="s">
        <v>30</v>
      </c>
      <c r="D319" s="130">
        <f>D324</f>
        <v>51208044.75</v>
      </c>
      <c r="E319" s="130">
        <f>E324</f>
        <v>51208044.75</v>
      </c>
      <c r="F319" s="623">
        <f t="shared" ref="F319:F327" si="52">E319/D319</f>
        <v>1</v>
      </c>
      <c r="G319" s="438"/>
      <c r="H319" s="131" t="s">
        <v>31</v>
      </c>
      <c r="I319" s="193">
        <v>1</v>
      </c>
      <c r="J319" s="541"/>
      <c r="K319" s="439"/>
      <c r="L319" s="99"/>
      <c r="M319" s="99"/>
      <c r="N319" s="99"/>
      <c r="O319" s="99"/>
      <c r="P319" s="74"/>
      <c r="Q319" s="75"/>
      <c r="R319" s="75"/>
      <c r="S319" s="75"/>
      <c r="T319" s="75"/>
    </row>
    <row r="320" spans="1:20" s="76" customFormat="1" ht="12" customHeight="1" x14ac:dyDescent="0.25">
      <c r="A320" s="436"/>
      <c r="B320" s="437"/>
      <c r="C320" s="193" t="s">
        <v>32</v>
      </c>
      <c r="D320" s="130">
        <f t="shared" ref="D320:E322" si="53">D325</f>
        <v>0</v>
      </c>
      <c r="E320" s="130">
        <f t="shared" si="53"/>
        <v>0</v>
      </c>
      <c r="F320" s="623">
        <v>0</v>
      </c>
      <c r="G320" s="438"/>
      <c r="H320" s="131" t="s">
        <v>33</v>
      </c>
      <c r="I320" s="193">
        <v>0</v>
      </c>
      <c r="J320" s="541"/>
      <c r="K320" s="439"/>
      <c r="L320" s="99"/>
      <c r="M320" s="99"/>
      <c r="N320" s="99"/>
      <c r="O320" s="99"/>
      <c r="P320" s="74"/>
      <c r="Q320" s="75"/>
      <c r="R320" s="75"/>
      <c r="S320" s="75"/>
      <c r="T320" s="75"/>
    </row>
    <row r="321" spans="1:20" s="76" customFormat="1" ht="12" customHeight="1" x14ac:dyDescent="0.25">
      <c r="A321" s="436"/>
      <c r="B321" s="437"/>
      <c r="C321" s="193" t="s">
        <v>34</v>
      </c>
      <c r="D321" s="130">
        <f t="shared" si="53"/>
        <v>0</v>
      </c>
      <c r="E321" s="130">
        <f t="shared" si="53"/>
        <v>0</v>
      </c>
      <c r="F321" s="623">
        <v>0</v>
      </c>
      <c r="G321" s="438"/>
      <c r="H321" s="131" t="s">
        <v>35</v>
      </c>
      <c r="I321" s="193">
        <v>0</v>
      </c>
      <c r="J321" s="541"/>
      <c r="K321" s="439"/>
      <c r="L321" s="99"/>
      <c r="M321" s="99"/>
      <c r="N321" s="99"/>
      <c r="O321" s="99"/>
      <c r="P321" s="74"/>
      <c r="Q321" s="75"/>
      <c r="R321" s="75"/>
      <c r="S321" s="75"/>
      <c r="T321" s="75"/>
    </row>
    <row r="322" spans="1:20" s="76" customFormat="1" ht="12" customHeight="1" x14ac:dyDescent="0.25">
      <c r="A322" s="436"/>
      <c r="B322" s="437"/>
      <c r="C322" s="193" t="s">
        <v>36</v>
      </c>
      <c r="D322" s="130">
        <f>D327</f>
        <v>40801</v>
      </c>
      <c r="E322" s="130">
        <f t="shared" si="53"/>
        <v>40801</v>
      </c>
      <c r="F322" s="623">
        <f t="shared" si="52"/>
        <v>1</v>
      </c>
      <c r="G322" s="438"/>
      <c r="H322" s="131" t="s">
        <v>37</v>
      </c>
      <c r="I322" s="623">
        <f>(I34+0.5*I35)/I33*100%</f>
        <v>1</v>
      </c>
      <c r="J322" s="542"/>
      <c r="K322" s="439"/>
      <c r="L322" s="99"/>
      <c r="M322" s="99"/>
      <c r="N322" s="99"/>
      <c r="O322" s="99"/>
      <c r="P322" s="74"/>
      <c r="Q322" s="75"/>
      <c r="R322" s="75"/>
      <c r="S322" s="75"/>
      <c r="T322" s="75"/>
    </row>
    <row r="323" spans="1:20" s="70" customFormat="1" ht="12" customHeight="1" x14ac:dyDescent="0.25">
      <c r="A323" s="440" t="s">
        <v>155</v>
      </c>
      <c r="B323" s="441" t="s">
        <v>156</v>
      </c>
      <c r="C323" s="77" t="s">
        <v>28</v>
      </c>
      <c r="D323" s="78">
        <f>D324+D325+D326+D327</f>
        <v>51248845.75</v>
      </c>
      <c r="E323" s="78">
        <f>E324+E325+E326+E327</f>
        <v>51248845.75</v>
      </c>
      <c r="F323" s="624">
        <f t="shared" si="52"/>
        <v>1</v>
      </c>
      <c r="G323" s="441" t="s">
        <v>48</v>
      </c>
      <c r="H323" s="441" t="s">
        <v>49</v>
      </c>
      <c r="I323" s="440" t="s">
        <v>882</v>
      </c>
      <c r="J323" s="434"/>
      <c r="K323" s="434"/>
      <c r="L323" s="235"/>
      <c r="M323" s="235"/>
      <c r="N323" s="235"/>
      <c r="O323" s="235"/>
      <c r="P323" s="68"/>
      <c r="Q323" s="69"/>
      <c r="R323" s="69"/>
      <c r="S323" s="69"/>
      <c r="T323" s="69"/>
    </row>
    <row r="324" spans="1:20" s="76" customFormat="1" ht="12" customHeight="1" x14ac:dyDescent="0.25">
      <c r="A324" s="440"/>
      <c r="B324" s="441"/>
      <c r="C324" s="185" t="s">
        <v>30</v>
      </c>
      <c r="D324" s="80">
        <f>'[6]табл.8 уточнение 2021 04.02. '!$H$379</f>
        <v>51208044.75</v>
      </c>
      <c r="E324" s="80">
        <f>[9]ЦСР!$F$88</f>
        <v>51208044.75</v>
      </c>
      <c r="F324" s="625">
        <f t="shared" si="52"/>
        <v>1</v>
      </c>
      <c r="G324" s="441"/>
      <c r="H324" s="441"/>
      <c r="I324" s="440"/>
      <c r="J324" s="434"/>
      <c r="K324" s="434"/>
      <c r="L324" s="99"/>
      <c r="M324" s="99"/>
      <c r="N324" s="99"/>
      <c r="O324" s="99"/>
      <c r="P324" s="74"/>
      <c r="Q324" s="75"/>
      <c r="R324" s="75"/>
      <c r="S324" s="75"/>
      <c r="T324" s="75"/>
    </row>
    <row r="325" spans="1:20" s="76" customFormat="1" ht="12" customHeight="1" x14ac:dyDescent="0.25">
      <c r="A325" s="440"/>
      <c r="B325" s="441"/>
      <c r="C325" s="185" t="s">
        <v>32</v>
      </c>
      <c r="D325" s="80">
        <f>'[3]табл.8 11.10.21'!F355</f>
        <v>0</v>
      </c>
      <c r="E325" s="80">
        <v>0</v>
      </c>
      <c r="F325" s="625">
        <v>0</v>
      </c>
      <c r="G325" s="441"/>
      <c r="H325" s="441"/>
      <c r="I325" s="440"/>
      <c r="J325" s="434"/>
      <c r="K325" s="434"/>
      <c r="L325" s="99"/>
      <c r="M325" s="99"/>
      <c r="N325" s="99"/>
      <c r="O325" s="99"/>
      <c r="P325" s="74"/>
      <c r="Q325" s="75"/>
      <c r="R325" s="75"/>
      <c r="S325" s="75"/>
      <c r="T325" s="75"/>
    </row>
    <row r="326" spans="1:20" s="76" customFormat="1" ht="12" customHeight="1" x14ac:dyDescent="0.25">
      <c r="A326" s="440"/>
      <c r="B326" s="441"/>
      <c r="C326" s="185" t="s">
        <v>34</v>
      </c>
      <c r="D326" s="80">
        <f>'[3]табл.8 11.10.21'!G355</f>
        <v>0</v>
      </c>
      <c r="E326" s="80">
        <v>0</v>
      </c>
      <c r="F326" s="625">
        <v>0</v>
      </c>
      <c r="G326" s="441"/>
      <c r="H326" s="441"/>
      <c r="I326" s="440"/>
      <c r="J326" s="434"/>
      <c r="K326" s="434"/>
      <c r="L326" s="99"/>
      <c r="M326" s="99"/>
      <c r="N326" s="99"/>
      <c r="O326" s="99"/>
      <c r="P326" s="74"/>
      <c r="Q326" s="75"/>
      <c r="R326" s="75"/>
      <c r="S326" s="75"/>
      <c r="T326" s="75"/>
    </row>
    <row r="327" spans="1:20" s="76" customFormat="1" ht="12" customHeight="1" x14ac:dyDescent="0.25">
      <c r="A327" s="440"/>
      <c r="B327" s="441"/>
      <c r="C327" s="185" t="s">
        <v>36</v>
      </c>
      <c r="D327" s="80">
        <f>'[6]табл.8 уточнение 2021 04.02. '!$I$379</f>
        <v>40801</v>
      </c>
      <c r="E327" s="80">
        <f>[10]Лист2!$I$6</f>
        <v>40801</v>
      </c>
      <c r="F327" s="625">
        <f t="shared" si="52"/>
        <v>1</v>
      </c>
      <c r="G327" s="441"/>
      <c r="H327" s="441"/>
      <c r="I327" s="440"/>
      <c r="J327" s="434"/>
      <c r="K327" s="434"/>
      <c r="L327" s="99"/>
      <c r="M327" s="99"/>
      <c r="N327" s="99"/>
      <c r="O327" s="99"/>
      <c r="P327" s="74"/>
      <c r="Q327" s="75"/>
      <c r="R327" s="75"/>
      <c r="S327" s="75"/>
      <c r="T327" s="75"/>
    </row>
    <row r="328" spans="1:20" s="70" customFormat="1" ht="12" customHeight="1" x14ac:dyDescent="0.25">
      <c r="A328" s="436" t="s">
        <v>157</v>
      </c>
      <c r="B328" s="437" t="s">
        <v>158</v>
      </c>
      <c r="C328" s="126" t="s">
        <v>28</v>
      </c>
      <c r="D328" s="127">
        <f>D329+D330+D331+D332</f>
        <v>118907316.44</v>
      </c>
      <c r="E328" s="127">
        <f>E329+E330+E331+E332</f>
        <v>111131581.59999999</v>
      </c>
      <c r="F328" s="622">
        <f>E328/D328</f>
        <v>0.93460675866885279</v>
      </c>
      <c r="G328" s="438"/>
      <c r="H328" s="128" t="s">
        <v>39</v>
      </c>
      <c r="I328" s="126">
        <f>SUM(I329:I331)</f>
        <v>1</v>
      </c>
      <c r="J328" s="439" t="s">
        <v>877</v>
      </c>
      <c r="K328" s="439"/>
      <c r="L328" s="235"/>
      <c r="M328" s="235"/>
      <c r="N328" s="235"/>
      <c r="O328" s="235"/>
      <c r="P328" s="68"/>
      <c r="Q328" s="69"/>
      <c r="R328" s="69"/>
      <c r="S328" s="69"/>
      <c r="T328" s="69"/>
    </row>
    <row r="329" spans="1:20" s="76" customFormat="1" ht="12" customHeight="1" x14ac:dyDescent="0.25">
      <c r="A329" s="436"/>
      <c r="B329" s="437"/>
      <c r="C329" s="193" t="s">
        <v>30</v>
      </c>
      <c r="D329" s="130">
        <f>D334+D339+D344+D349+D354</f>
        <v>36492060.350000001</v>
      </c>
      <c r="E329" s="130">
        <f>E334+E339+E344+E349+E354</f>
        <v>36386536.899999999</v>
      </c>
      <c r="F329" s="623">
        <f t="shared" ref="F329:F350" si="54">E329/D329</f>
        <v>0.99710831756311058</v>
      </c>
      <c r="G329" s="438"/>
      <c r="H329" s="131" t="s">
        <v>31</v>
      </c>
      <c r="I329" s="193">
        <v>0</v>
      </c>
      <c r="J329" s="439"/>
      <c r="K329" s="439"/>
      <c r="L329" s="99"/>
      <c r="M329" s="99"/>
      <c r="N329" s="99"/>
      <c r="O329" s="99"/>
      <c r="P329" s="74"/>
      <c r="Q329" s="75"/>
      <c r="R329" s="75"/>
      <c r="S329" s="75"/>
      <c r="T329" s="75"/>
    </row>
    <row r="330" spans="1:20" s="76" customFormat="1" ht="12" customHeight="1" x14ac:dyDescent="0.25">
      <c r="A330" s="436"/>
      <c r="B330" s="437"/>
      <c r="C330" s="193" t="s">
        <v>32</v>
      </c>
      <c r="D330" s="130">
        <f t="shared" ref="D330:E332" si="55">D335+D340+D345+D350+D355</f>
        <v>33462683.539999999</v>
      </c>
      <c r="E330" s="130">
        <f t="shared" si="55"/>
        <v>29343588.788699999</v>
      </c>
      <c r="F330" s="623">
        <f t="shared" si="54"/>
        <v>0.87690482903511924</v>
      </c>
      <c r="G330" s="438"/>
      <c r="H330" s="131" t="s">
        <v>33</v>
      </c>
      <c r="I330" s="193">
        <v>1</v>
      </c>
      <c r="J330" s="439"/>
      <c r="K330" s="439"/>
      <c r="L330" s="99"/>
      <c r="M330" s="99"/>
      <c r="N330" s="99"/>
      <c r="O330" s="99"/>
      <c r="P330" s="74"/>
      <c r="Q330" s="75"/>
      <c r="R330" s="75"/>
      <c r="S330" s="75"/>
      <c r="T330" s="75"/>
    </row>
    <row r="331" spans="1:20" s="76" customFormat="1" ht="12" customHeight="1" x14ac:dyDescent="0.25">
      <c r="A331" s="436"/>
      <c r="B331" s="437"/>
      <c r="C331" s="193" t="s">
        <v>34</v>
      </c>
      <c r="D331" s="130">
        <f t="shared" si="55"/>
        <v>24929935</v>
      </c>
      <c r="E331" s="130">
        <f t="shared" si="55"/>
        <v>21437860.721300002</v>
      </c>
      <c r="F331" s="623">
        <f t="shared" si="54"/>
        <v>0.8599244531243263</v>
      </c>
      <c r="G331" s="438"/>
      <c r="H331" s="131" t="s">
        <v>35</v>
      </c>
      <c r="I331" s="193">
        <v>0</v>
      </c>
      <c r="J331" s="439"/>
      <c r="K331" s="439"/>
      <c r="L331" s="99"/>
      <c r="M331" s="99"/>
      <c r="N331" s="99"/>
      <c r="O331" s="99"/>
      <c r="P331" s="74"/>
      <c r="Q331" s="75"/>
      <c r="R331" s="75"/>
      <c r="S331" s="75"/>
      <c r="T331" s="75"/>
    </row>
    <row r="332" spans="1:20" s="76" customFormat="1" ht="12" customHeight="1" x14ac:dyDescent="0.25">
      <c r="A332" s="436"/>
      <c r="B332" s="437"/>
      <c r="C332" s="193" t="s">
        <v>36</v>
      </c>
      <c r="D332" s="130">
        <f>D337+D342+D347+D352+D357</f>
        <v>24022637.550000001</v>
      </c>
      <c r="E332" s="130">
        <f t="shared" si="55"/>
        <v>23963595.190000001</v>
      </c>
      <c r="F332" s="623">
        <f t="shared" si="54"/>
        <v>0.99754221992164227</v>
      </c>
      <c r="G332" s="438"/>
      <c r="H332" s="131" t="s">
        <v>37</v>
      </c>
      <c r="I332" s="623">
        <f>(I34+0.5*I35)/I33*100%</f>
        <v>1</v>
      </c>
      <c r="J332" s="439"/>
      <c r="K332" s="439"/>
      <c r="L332" s="99"/>
      <c r="M332" s="99"/>
      <c r="N332" s="99"/>
      <c r="O332" s="99"/>
      <c r="P332" s="74"/>
      <c r="Q332" s="75"/>
      <c r="R332" s="75"/>
      <c r="S332" s="75"/>
      <c r="T332" s="75"/>
    </row>
    <row r="333" spans="1:20" s="70" customFormat="1" ht="12" customHeight="1" x14ac:dyDescent="0.25">
      <c r="A333" s="440" t="s">
        <v>159</v>
      </c>
      <c r="B333" s="441" t="s">
        <v>160</v>
      </c>
      <c r="C333" s="77" t="s">
        <v>28</v>
      </c>
      <c r="D333" s="78">
        <f>D334+D335+D336+D337</f>
        <v>6425563.1000000006</v>
      </c>
      <c r="E333" s="78">
        <f>E334+E335+E336+E337</f>
        <v>6139434.7400000002</v>
      </c>
      <c r="F333" s="624">
        <f t="shared" si="54"/>
        <v>0.95547030578534042</v>
      </c>
      <c r="G333" s="441" t="s">
        <v>48</v>
      </c>
      <c r="H333" s="441" t="s">
        <v>49</v>
      </c>
      <c r="I333" s="440" t="s">
        <v>882</v>
      </c>
      <c r="J333" s="434"/>
      <c r="K333" s="434"/>
      <c r="L333" s="235"/>
      <c r="M333" s="235"/>
      <c r="N333" s="235"/>
      <c r="O333" s="235"/>
      <c r="P333" s="68"/>
      <c r="Q333" s="69"/>
      <c r="R333" s="69"/>
      <c r="S333" s="69"/>
      <c r="T333" s="69"/>
    </row>
    <row r="334" spans="1:20" s="76" customFormat="1" ht="12" customHeight="1" x14ac:dyDescent="0.25">
      <c r="A334" s="440"/>
      <c r="B334" s="441"/>
      <c r="C334" s="185" t="s">
        <v>30</v>
      </c>
      <c r="D334" s="80">
        <f>'[6]табл.8 уточнение 2021 04.02. '!$H$391</f>
        <v>4450063.1000000006</v>
      </c>
      <c r="E334" s="132">
        <f>'31 12 2021'!M60+'31 12 2021'!M116</f>
        <v>4450063.1000000006</v>
      </c>
      <c r="F334" s="625">
        <f t="shared" si="54"/>
        <v>1</v>
      </c>
      <c r="G334" s="441"/>
      <c r="H334" s="441"/>
      <c r="I334" s="440"/>
      <c r="J334" s="434"/>
      <c r="K334" s="434"/>
      <c r="L334" s="99"/>
      <c r="M334" s="99"/>
      <c r="N334" s="99"/>
      <c r="O334" s="99"/>
      <c r="P334" s="74"/>
      <c r="Q334" s="75"/>
      <c r="R334" s="75"/>
      <c r="S334" s="75"/>
      <c r="T334" s="75"/>
    </row>
    <row r="335" spans="1:20" s="76" customFormat="1" ht="12" customHeight="1" x14ac:dyDescent="0.25">
      <c r="A335" s="440"/>
      <c r="B335" s="441"/>
      <c r="C335" s="185" t="s">
        <v>32</v>
      </c>
      <c r="D335" s="80">
        <f>'[6]табл.8 уточнение 2021 04.02. '!$F$391</f>
        <v>1975500</v>
      </c>
      <c r="E335" s="132">
        <f>'31 12 2021'!M53+'31 12 2021'!M109</f>
        <v>1689371.6400000001</v>
      </c>
      <c r="F335" s="625">
        <f t="shared" si="54"/>
        <v>0.85516154897494312</v>
      </c>
      <c r="G335" s="441"/>
      <c r="H335" s="441"/>
      <c r="I335" s="440"/>
      <c r="J335" s="434"/>
      <c r="K335" s="434"/>
      <c r="L335" s="99"/>
      <c r="M335" s="99"/>
      <c r="N335" s="99"/>
      <c r="O335" s="99"/>
      <c r="P335" s="74"/>
      <c r="Q335" s="75"/>
      <c r="R335" s="75"/>
      <c r="S335" s="75"/>
      <c r="T335" s="75"/>
    </row>
    <row r="336" spans="1:20" s="76" customFormat="1" ht="12" customHeight="1" x14ac:dyDescent="0.25">
      <c r="A336" s="440"/>
      <c r="B336" s="441"/>
      <c r="C336" s="185" t="s">
        <v>34</v>
      </c>
      <c r="D336" s="80">
        <f>'[3]табл.8 11.10.21'!G367</f>
        <v>0</v>
      </c>
      <c r="E336" s="80">
        <v>0</v>
      </c>
      <c r="F336" s="625">
        <v>0</v>
      </c>
      <c r="G336" s="441"/>
      <c r="H336" s="441"/>
      <c r="I336" s="440"/>
      <c r="J336" s="434"/>
      <c r="K336" s="434"/>
      <c r="L336" s="99"/>
      <c r="M336" s="99"/>
      <c r="N336" s="99"/>
      <c r="O336" s="99"/>
      <c r="P336" s="74"/>
      <c r="Q336" s="75"/>
      <c r="R336" s="75"/>
      <c r="S336" s="75"/>
      <c r="T336" s="75"/>
    </row>
    <row r="337" spans="1:20" s="76" customFormat="1" ht="12" customHeight="1" x14ac:dyDescent="0.25">
      <c r="A337" s="440"/>
      <c r="B337" s="441"/>
      <c r="C337" s="185" t="s">
        <v>36</v>
      </c>
      <c r="D337" s="80">
        <f>'[3]табл.8 11.10.21'!I367</f>
        <v>0</v>
      </c>
      <c r="E337" s="80">
        <v>0</v>
      </c>
      <c r="F337" s="625">
        <v>0</v>
      </c>
      <c r="G337" s="441"/>
      <c r="H337" s="441"/>
      <c r="I337" s="440"/>
      <c r="J337" s="434"/>
      <c r="K337" s="434"/>
      <c r="L337" s="99"/>
      <c r="M337" s="99"/>
      <c r="N337" s="99"/>
      <c r="O337" s="99"/>
      <c r="P337" s="74"/>
      <c r="Q337" s="75"/>
      <c r="R337" s="75"/>
      <c r="S337" s="75"/>
      <c r="T337" s="75"/>
    </row>
    <row r="338" spans="1:20" s="70" customFormat="1" ht="12.75" customHeight="1" x14ac:dyDescent="0.25">
      <c r="A338" s="440" t="s">
        <v>161</v>
      </c>
      <c r="B338" s="441" t="s">
        <v>162</v>
      </c>
      <c r="C338" s="77" t="s">
        <v>28</v>
      </c>
      <c r="D338" s="78">
        <f>D339+D340+D341+D342</f>
        <v>13418600</v>
      </c>
      <c r="E338" s="78">
        <f>E339+E340+E341+E342</f>
        <v>11195652</v>
      </c>
      <c r="F338" s="624">
        <f t="shared" si="54"/>
        <v>0.83433830652974228</v>
      </c>
      <c r="G338" s="441" t="s">
        <v>48</v>
      </c>
      <c r="H338" s="441" t="s">
        <v>49</v>
      </c>
      <c r="I338" s="440" t="s">
        <v>881</v>
      </c>
      <c r="J338" s="434" t="s">
        <v>889</v>
      </c>
      <c r="K338" s="434"/>
      <c r="L338" s="235"/>
      <c r="M338" s="235"/>
      <c r="N338" s="235"/>
      <c r="O338" s="235"/>
      <c r="P338" s="68"/>
      <c r="Q338" s="69"/>
      <c r="R338" s="69"/>
      <c r="S338" s="69"/>
      <c r="T338" s="69"/>
    </row>
    <row r="339" spans="1:20" s="76" customFormat="1" ht="12" customHeight="1" x14ac:dyDescent="0.25">
      <c r="A339" s="440"/>
      <c r="B339" s="441"/>
      <c r="C339" s="185" t="s">
        <v>30</v>
      </c>
      <c r="D339" s="80">
        <f>'[3]табл.8 11.10.21'!H373</f>
        <v>0</v>
      </c>
      <c r="E339" s="80">
        <v>0</v>
      </c>
      <c r="F339" s="625">
        <v>0</v>
      </c>
      <c r="G339" s="441"/>
      <c r="H339" s="441"/>
      <c r="I339" s="440"/>
      <c r="J339" s="434"/>
      <c r="K339" s="434"/>
      <c r="L339" s="99"/>
      <c r="M339" s="99"/>
      <c r="N339" s="99"/>
      <c r="O339" s="99"/>
      <c r="P339" s="74"/>
      <c r="Q339" s="75"/>
      <c r="R339" s="75"/>
      <c r="S339" s="75"/>
      <c r="T339" s="75"/>
    </row>
    <row r="340" spans="1:20" s="76" customFormat="1" ht="12" customHeight="1" x14ac:dyDescent="0.25">
      <c r="A340" s="440"/>
      <c r="B340" s="441"/>
      <c r="C340" s="185" t="s">
        <v>32</v>
      </c>
      <c r="D340" s="80">
        <f>'[6]табл.8 уточнение 2021 04.02. '!$F$397</f>
        <v>13418600</v>
      </c>
      <c r="E340" s="132">
        <f>'31 12 2021'!M56+'31 12 2021'!M112</f>
        <v>11195652</v>
      </c>
      <c r="F340" s="625">
        <f t="shared" si="54"/>
        <v>0.83433830652974228</v>
      </c>
      <c r="G340" s="441"/>
      <c r="H340" s="441"/>
      <c r="I340" s="440"/>
      <c r="J340" s="434"/>
      <c r="K340" s="434"/>
      <c r="L340" s="99"/>
      <c r="M340" s="99"/>
      <c r="N340" s="99"/>
      <c r="O340" s="99"/>
      <c r="P340" s="74"/>
      <c r="Q340" s="75"/>
      <c r="R340" s="75"/>
      <c r="S340" s="75"/>
      <c r="T340" s="75"/>
    </row>
    <row r="341" spans="1:20" s="76" customFormat="1" ht="12" customHeight="1" x14ac:dyDescent="0.25">
      <c r="A341" s="440"/>
      <c r="B341" s="441"/>
      <c r="C341" s="185" t="s">
        <v>34</v>
      </c>
      <c r="D341" s="80">
        <f>'[3]табл.8 11.10.21'!G373</f>
        <v>0</v>
      </c>
      <c r="E341" s="80">
        <v>0</v>
      </c>
      <c r="F341" s="625">
        <v>0</v>
      </c>
      <c r="G341" s="441"/>
      <c r="H341" s="441"/>
      <c r="I341" s="440"/>
      <c r="J341" s="434"/>
      <c r="K341" s="434"/>
      <c r="L341" s="99"/>
      <c r="M341" s="99"/>
      <c r="N341" s="99"/>
      <c r="O341" s="99"/>
      <c r="P341" s="74"/>
      <c r="Q341" s="75"/>
      <c r="R341" s="75"/>
      <c r="S341" s="75"/>
      <c r="T341" s="75"/>
    </row>
    <row r="342" spans="1:20" s="76" customFormat="1" ht="12" customHeight="1" x14ac:dyDescent="0.25">
      <c r="A342" s="440"/>
      <c r="B342" s="441"/>
      <c r="C342" s="185" t="s">
        <v>36</v>
      </c>
      <c r="D342" s="80">
        <f>'[3]табл.8 11.10.21'!I373</f>
        <v>0</v>
      </c>
      <c r="E342" s="80">
        <v>0</v>
      </c>
      <c r="F342" s="625">
        <v>0</v>
      </c>
      <c r="G342" s="441"/>
      <c r="H342" s="441"/>
      <c r="I342" s="440"/>
      <c r="J342" s="434"/>
      <c r="K342" s="434"/>
      <c r="L342" s="99"/>
      <c r="M342" s="99"/>
      <c r="N342" s="99"/>
      <c r="O342" s="99"/>
      <c r="P342" s="74"/>
      <c r="Q342" s="75"/>
      <c r="R342" s="75"/>
      <c r="S342" s="75"/>
      <c r="T342" s="75"/>
    </row>
    <row r="343" spans="1:20" s="70" customFormat="1" ht="12" customHeight="1" x14ac:dyDescent="0.25">
      <c r="A343" s="440" t="s">
        <v>163</v>
      </c>
      <c r="B343" s="441" t="s">
        <v>164</v>
      </c>
      <c r="C343" s="77" t="s">
        <v>28</v>
      </c>
      <c r="D343" s="78">
        <f>D344+D345+D346+D347</f>
        <v>54447644.310000002</v>
      </c>
      <c r="E343" s="78">
        <f>E344+E345+E346+E347</f>
        <v>54387203.010000005</v>
      </c>
      <c r="F343" s="624">
        <f t="shared" si="54"/>
        <v>0.99888991891631029</v>
      </c>
      <c r="G343" s="450" t="s">
        <v>48</v>
      </c>
      <c r="H343" s="450" t="s">
        <v>49</v>
      </c>
      <c r="I343" s="449" t="s">
        <v>882</v>
      </c>
      <c r="J343" s="434"/>
      <c r="K343" s="434"/>
      <c r="L343" s="235"/>
      <c r="M343" s="235"/>
      <c r="N343" s="235"/>
      <c r="O343" s="235"/>
      <c r="P343" s="68"/>
      <c r="Q343" s="69"/>
      <c r="R343" s="69"/>
      <c r="S343" s="69"/>
      <c r="T343" s="69"/>
    </row>
    <row r="344" spans="1:20" s="76" customFormat="1" ht="12" customHeight="1" x14ac:dyDescent="0.25">
      <c r="A344" s="440"/>
      <c r="B344" s="441"/>
      <c r="C344" s="185" t="s">
        <v>30</v>
      </c>
      <c r="D344" s="80">
        <f>'[6]табл.8 уточнение 2021 04.02. '!$H$403</f>
        <v>30425006.760000002</v>
      </c>
      <c r="E344" s="132">
        <f>'31 12 2021'!M51+'31 12 2021'!M52+'31 12 2021'!M106+'31 12 2021'!M107+'31 12 2021'!M108</f>
        <v>30423607.82</v>
      </c>
      <c r="F344" s="625">
        <f t="shared" si="54"/>
        <v>0.99995402005951761</v>
      </c>
      <c r="G344" s="450"/>
      <c r="H344" s="450"/>
      <c r="I344" s="449"/>
      <c r="J344" s="434"/>
      <c r="K344" s="434"/>
      <c r="L344" s="99"/>
      <c r="M344" s="99"/>
      <c r="N344" s="99"/>
      <c r="O344" s="99"/>
      <c r="P344" s="74"/>
      <c r="Q344" s="75"/>
      <c r="R344" s="75"/>
      <c r="S344" s="75"/>
      <c r="T344" s="75"/>
    </row>
    <row r="345" spans="1:20" s="76" customFormat="1" ht="12" customHeight="1" x14ac:dyDescent="0.25">
      <c r="A345" s="440"/>
      <c r="B345" s="441"/>
      <c r="C345" s="185" t="s">
        <v>32</v>
      </c>
      <c r="D345" s="80">
        <f>'[3]табл.8 11.10.21'!F379</f>
        <v>0</v>
      </c>
      <c r="E345" s="80">
        <v>0</v>
      </c>
      <c r="F345" s="625">
        <v>0</v>
      </c>
      <c r="G345" s="450"/>
      <c r="H345" s="450"/>
      <c r="I345" s="449"/>
      <c r="J345" s="434"/>
      <c r="K345" s="434"/>
      <c r="L345" s="99"/>
      <c r="M345" s="99"/>
      <c r="N345" s="99"/>
      <c r="O345" s="99"/>
      <c r="P345" s="74"/>
      <c r="Q345" s="75"/>
      <c r="R345" s="75"/>
      <c r="S345" s="75"/>
      <c r="T345" s="75"/>
    </row>
    <row r="346" spans="1:20" s="76" customFormat="1" ht="12" customHeight="1" x14ac:dyDescent="0.25">
      <c r="A346" s="440"/>
      <c r="B346" s="441"/>
      <c r="C346" s="185" t="s">
        <v>34</v>
      </c>
      <c r="D346" s="80">
        <f>'[3]табл.8 11.10.21'!G379</f>
        <v>0</v>
      </c>
      <c r="E346" s="80">
        <v>0</v>
      </c>
      <c r="F346" s="625">
        <v>0</v>
      </c>
      <c r="G346" s="450"/>
      <c r="H346" s="450"/>
      <c r="I346" s="449"/>
      <c r="J346" s="434"/>
      <c r="K346" s="434"/>
      <c r="L346" s="99"/>
      <c r="M346" s="99"/>
      <c r="N346" s="99"/>
      <c r="O346" s="99"/>
      <c r="P346" s="74"/>
      <c r="Q346" s="75"/>
      <c r="R346" s="75"/>
      <c r="S346" s="75"/>
      <c r="T346" s="75"/>
    </row>
    <row r="347" spans="1:20" s="76" customFormat="1" ht="12" customHeight="1" x14ac:dyDescent="0.25">
      <c r="A347" s="440"/>
      <c r="B347" s="441"/>
      <c r="C347" s="185" t="s">
        <v>36</v>
      </c>
      <c r="D347" s="80">
        <f>'[6]табл.8 уточнение 2021 04.02. '!$I$403</f>
        <v>24022637.550000001</v>
      </c>
      <c r="E347" s="132">
        <f>'[7]МП Образование ВБС 01.01.2021'!$E$142</f>
        <v>23963595.190000001</v>
      </c>
      <c r="F347" s="625">
        <f t="shared" si="54"/>
        <v>0.99754221992164227</v>
      </c>
      <c r="G347" s="450"/>
      <c r="H347" s="450"/>
      <c r="I347" s="449"/>
      <c r="J347" s="434"/>
      <c r="K347" s="434"/>
      <c r="L347" s="99"/>
      <c r="M347" s="99"/>
      <c r="N347" s="99"/>
      <c r="O347" s="99"/>
      <c r="P347" s="74"/>
      <c r="Q347" s="75"/>
      <c r="R347" s="75"/>
      <c r="S347" s="75"/>
      <c r="T347" s="75"/>
    </row>
    <row r="348" spans="1:20" s="70" customFormat="1" ht="12" customHeight="1" x14ac:dyDescent="0.25">
      <c r="A348" s="440" t="s">
        <v>165</v>
      </c>
      <c r="B348" s="441" t="s">
        <v>166</v>
      </c>
      <c r="C348" s="77" t="s">
        <v>28</v>
      </c>
      <c r="D348" s="78">
        <f>D349+D350+D351+D352</f>
        <v>4237973.1500000004</v>
      </c>
      <c r="E348" s="78">
        <f>E349+E350+E351+E352</f>
        <v>4237973.1500000004</v>
      </c>
      <c r="F348" s="624">
        <f t="shared" si="54"/>
        <v>1</v>
      </c>
      <c r="G348" s="441" t="s">
        <v>48</v>
      </c>
      <c r="H348" s="441" t="s">
        <v>49</v>
      </c>
      <c r="I348" s="440" t="s">
        <v>882</v>
      </c>
      <c r="J348" s="434"/>
      <c r="K348" s="434"/>
      <c r="L348" s="235"/>
      <c r="M348" s="235"/>
      <c r="N348" s="235"/>
      <c r="O348" s="235"/>
      <c r="P348" s="68"/>
      <c r="Q348" s="69"/>
      <c r="R348" s="69"/>
      <c r="S348" s="69"/>
      <c r="T348" s="69"/>
    </row>
    <row r="349" spans="1:20" s="76" customFormat="1" ht="12" customHeight="1" x14ac:dyDescent="0.25">
      <c r="A349" s="440"/>
      <c r="B349" s="441"/>
      <c r="C349" s="185" t="s">
        <v>30</v>
      </c>
      <c r="D349" s="80">
        <f>'[6]табл.8 уточнение 2021 04.02. '!$H$409</f>
        <v>809439.6100000001</v>
      </c>
      <c r="E349" s="132">
        <f>'31 12 2021'!M61+'31 12 2021'!M63+'31 12 2021'!M117+'31 12 2021'!M119</f>
        <v>809439.6100000001</v>
      </c>
      <c r="F349" s="625">
        <f t="shared" si="54"/>
        <v>1</v>
      </c>
      <c r="G349" s="441"/>
      <c r="H349" s="441"/>
      <c r="I349" s="440"/>
      <c r="J349" s="434"/>
      <c r="K349" s="434"/>
      <c r="L349" s="99"/>
      <c r="M349" s="99"/>
      <c r="N349" s="99"/>
      <c r="O349" s="99"/>
      <c r="P349" s="74"/>
      <c r="Q349" s="75"/>
      <c r="R349" s="75"/>
      <c r="S349" s="75"/>
      <c r="T349" s="75"/>
    </row>
    <row r="350" spans="1:20" s="76" customFormat="1" ht="12" customHeight="1" x14ac:dyDescent="0.25">
      <c r="A350" s="440"/>
      <c r="B350" s="441"/>
      <c r="C350" s="185" t="s">
        <v>32</v>
      </c>
      <c r="D350" s="80">
        <f>'[6]табл.8 уточнение 2021 04.02. '!$F$409</f>
        <v>3428533.54</v>
      </c>
      <c r="E350" s="132">
        <f>'31 12 2021'!M54+'31 12 2021'!M110</f>
        <v>3428533.54</v>
      </c>
      <c r="F350" s="625">
        <f t="shared" si="54"/>
        <v>1</v>
      </c>
      <c r="G350" s="441"/>
      <c r="H350" s="441"/>
      <c r="I350" s="440"/>
      <c r="J350" s="434"/>
      <c r="K350" s="434"/>
      <c r="L350" s="99"/>
      <c r="M350" s="99"/>
      <c r="N350" s="99"/>
      <c r="O350" s="99"/>
      <c r="P350" s="74"/>
      <c r="Q350" s="75"/>
      <c r="R350" s="75"/>
      <c r="S350" s="75"/>
      <c r="T350" s="75"/>
    </row>
    <row r="351" spans="1:20" s="76" customFormat="1" ht="12" customHeight="1" x14ac:dyDescent="0.25">
      <c r="A351" s="440"/>
      <c r="B351" s="441"/>
      <c r="C351" s="185" t="s">
        <v>34</v>
      </c>
      <c r="D351" s="80">
        <f>'[3]табл.8 11.10.21'!G385</f>
        <v>0</v>
      </c>
      <c r="E351" s="80">
        <v>0</v>
      </c>
      <c r="F351" s="625">
        <v>0</v>
      </c>
      <c r="G351" s="441"/>
      <c r="H351" s="441"/>
      <c r="I351" s="440"/>
      <c r="J351" s="434"/>
      <c r="K351" s="434"/>
      <c r="L351" s="99"/>
      <c r="M351" s="99"/>
      <c r="N351" s="99"/>
      <c r="O351" s="99"/>
      <c r="P351" s="74"/>
      <c r="Q351" s="75"/>
      <c r="R351" s="75"/>
      <c r="S351" s="75"/>
      <c r="T351" s="75"/>
    </row>
    <row r="352" spans="1:20" s="76" customFormat="1" ht="12" customHeight="1" x14ac:dyDescent="0.25">
      <c r="A352" s="440"/>
      <c r="B352" s="441"/>
      <c r="C352" s="185" t="s">
        <v>36</v>
      </c>
      <c r="D352" s="80">
        <f>'[3]табл.8 11.10.21'!I385</f>
        <v>0</v>
      </c>
      <c r="E352" s="80">
        <v>0</v>
      </c>
      <c r="F352" s="625">
        <v>0</v>
      </c>
      <c r="G352" s="441"/>
      <c r="H352" s="441"/>
      <c r="I352" s="440"/>
      <c r="J352" s="434"/>
      <c r="K352" s="434"/>
      <c r="L352" s="99"/>
      <c r="M352" s="99"/>
      <c r="N352" s="99"/>
      <c r="O352" s="99"/>
      <c r="P352" s="74"/>
      <c r="Q352" s="75"/>
      <c r="R352" s="75"/>
      <c r="S352" s="75"/>
      <c r="T352" s="75"/>
    </row>
    <row r="353" spans="1:20" s="70" customFormat="1" ht="12" customHeight="1" x14ac:dyDescent="0.25">
      <c r="A353" s="440" t="s">
        <v>167</v>
      </c>
      <c r="B353" s="441" t="s">
        <v>168</v>
      </c>
      <c r="C353" s="77" t="s">
        <v>28</v>
      </c>
      <c r="D353" s="78">
        <f>D354+D355+D356+D357</f>
        <v>40377535.880000003</v>
      </c>
      <c r="E353" s="78">
        <f>E354+E355+E356+E357</f>
        <v>35171318.700000003</v>
      </c>
      <c r="F353" s="624">
        <f t="shared" ref="F353:F356" si="56">E353/D353</f>
        <v>0.87106154284717585</v>
      </c>
      <c r="G353" s="441" t="s">
        <v>48</v>
      </c>
      <c r="H353" s="441" t="s">
        <v>49</v>
      </c>
      <c r="I353" s="440" t="s">
        <v>881</v>
      </c>
      <c r="J353" s="434" t="s">
        <v>889</v>
      </c>
      <c r="K353" s="434"/>
      <c r="L353" s="235"/>
      <c r="M353" s="235"/>
      <c r="N353" s="235"/>
      <c r="O353" s="235"/>
      <c r="P353" s="68"/>
      <c r="Q353" s="69"/>
      <c r="R353" s="69"/>
      <c r="S353" s="69"/>
      <c r="T353" s="69"/>
    </row>
    <row r="354" spans="1:20" s="76" customFormat="1" ht="12" customHeight="1" x14ac:dyDescent="0.25">
      <c r="A354" s="440"/>
      <c r="B354" s="441"/>
      <c r="C354" s="185" t="s">
        <v>30</v>
      </c>
      <c r="D354" s="80">
        <f>'[6]табл.8 уточнение 2021 04.02. '!$H$415</f>
        <v>807550.88</v>
      </c>
      <c r="E354" s="132">
        <f>'31 12 2021'!M59+'31 12 2021'!M62+'31 12 2021'!M115+'31 12 2021'!M118</f>
        <v>703426.37000000011</v>
      </c>
      <c r="F354" s="625">
        <f t="shared" si="56"/>
        <v>0.871061362721814</v>
      </c>
      <c r="G354" s="441"/>
      <c r="H354" s="441"/>
      <c r="I354" s="440"/>
      <c r="J354" s="434"/>
      <c r="K354" s="434"/>
      <c r="L354" s="99"/>
      <c r="M354" s="99"/>
      <c r="N354" s="99"/>
      <c r="O354" s="99"/>
      <c r="P354" s="74"/>
      <c r="Q354" s="75"/>
      <c r="R354" s="75"/>
      <c r="S354" s="75"/>
      <c r="T354" s="75"/>
    </row>
    <row r="355" spans="1:20" s="76" customFormat="1" ht="12" customHeight="1" x14ac:dyDescent="0.25">
      <c r="A355" s="440"/>
      <c r="B355" s="441"/>
      <c r="C355" s="185" t="s">
        <v>32</v>
      </c>
      <c r="D355" s="80">
        <f>'[6]табл.8 уточнение 2021 04.02. '!$F$415</f>
        <v>14640050</v>
      </c>
      <c r="E355" s="132">
        <f>'31 12 2021'!M55+'31 12 2021'!M58+'31 12 2021'!M111+'31 12 2021'!M114</f>
        <v>13030031.6087</v>
      </c>
      <c r="F355" s="625">
        <f t="shared" si="56"/>
        <v>0.89002644176078627</v>
      </c>
      <c r="G355" s="441"/>
      <c r="H355" s="441"/>
      <c r="I355" s="440"/>
      <c r="J355" s="434"/>
      <c r="K355" s="434"/>
      <c r="L355" s="99"/>
      <c r="M355" s="99"/>
      <c r="N355" s="99"/>
      <c r="O355" s="99"/>
      <c r="P355" s="74"/>
      <c r="Q355" s="75"/>
      <c r="R355" s="75"/>
      <c r="S355" s="75"/>
      <c r="T355" s="75"/>
    </row>
    <row r="356" spans="1:20" s="76" customFormat="1" ht="12" customHeight="1" x14ac:dyDescent="0.25">
      <c r="A356" s="440"/>
      <c r="B356" s="441"/>
      <c r="C356" s="185" t="s">
        <v>34</v>
      </c>
      <c r="D356" s="80">
        <f>'[6]табл.8 уточнение 2021 04.02. '!$G$415</f>
        <v>24929935</v>
      </c>
      <c r="E356" s="132">
        <f>'31 12 2021'!M57+'31 12 2021'!M113</f>
        <v>21437860.721300002</v>
      </c>
      <c r="F356" s="625">
        <f t="shared" si="56"/>
        <v>0.8599244531243263</v>
      </c>
      <c r="G356" s="441"/>
      <c r="H356" s="441"/>
      <c r="I356" s="440"/>
      <c r="J356" s="434"/>
      <c r="K356" s="434"/>
      <c r="L356" s="99"/>
      <c r="M356" s="99"/>
      <c r="N356" s="99"/>
      <c r="O356" s="99"/>
      <c r="P356" s="74"/>
      <c r="Q356" s="75"/>
      <c r="R356" s="75"/>
      <c r="S356" s="75"/>
      <c r="T356" s="75"/>
    </row>
    <row r="357" spans="1:20" s="76" customFormat="1" ht="12" customHeight="1" x14ac:dyDescent="0.25">
      <c r="A357" s="440"/>
      <c r="B357" s="441"/>
      <c r="C357" s="185" t="s">
        <v>36</v>
      </c>
      <c r="D357" s="80">
        <f>'[3]табл.8 11.10.21'!I391</f>
        <v>0</v>
      </c>
      <c r="E357" s="80">
        <v>0</v>
      </c>
      <c r="F357" s="625">
        <v>0</v>
      </c>
      <c r="G357" s="441"/>
      <c r="H357" s="441"/>
      <c r="I357" s="440"/>
      <c r="J357" s="434"/>
      <c r="K357" s="434"/>
      <c r="L357" s="99"/>
      <c r="M357" s="99"/>
      <c r="N357" s="99"/>
      <c r="O357" s="99"/>
      <c r="P357" s="74"/>
      <c r="Q357" s="75"/>
      <c r="R357" s="75"/>
      <c r="S357" s="75"/>
      <c r="T357" s="75"/>
    </row>
    <row r="358" spans="1:20" s="70" customFormat="1" ht="12" customHeight="1" x14ac:dyDescent="0.25">
      <c r="A358" s="436" t="s">
        <v>169</v>
      </c>
      <c r="B358" s="437" t="s">
        <v>170</v>
      </c>
      <c r="C358" s="126" t="s">
        <v>28</v>
      </c>
      <c r="D358" s="127">
        <f>D359+D360+D361+D362</f>
        <v>13882912.120000001</v>
      </c>
      <c r="E358" s="127">
        <f>E359+E360+E361+E362</f>
        <v>12690136.120000001</v>
      </c>
      <c r="F358" s="622">
        <f>E358/D358</f>
        <v>0.91408315563118325</v>
      </c>
      <c r="G358" s="438"/>
      <c r="H358" s="128" t="s">
        <v>39</v>
      </c>
      <c r="I358" s="126">
        <f>SUM(I359:I361)</f>
        <v>1</v>
      </c>
      <c r="J358" s="439" t="s">
        <v>877</v>
      </c>
      <c r="K358" s="439"/>
      <c r="L358" s="235"/>
      <c r="M358" s="235"/>
      <c r="N358" s="235"/>
      <c r="O358" s="235"/>
      <c r="P358" s="68"/>
      <c r="Q358" s="69"/>
      <c r="R358" s="69"/>
      <c r="S358" s="69"/>
      <c r="T358" s="69"/>
    </row>
    <row r="359" spans="1:20" s="76" customFormat="1" ht="12" customHeight="1" x14ac:dyDescent="0.25">
      <c r="A359" s="436"/>
      <c r="B359" s="437"/>
      <c r="C359" s="193" t="s">
        <v>30</v>
      </c>
      <c r="D359" s="130">
        <f>D364</f>
        <v>6329714.1200000001</v>
      </c>
      <c r="E359" s="130">
        <f>E364</f>
        <v>6329714.1200000001</v>
      </c>
      <c r="F359" s="623">
        <f t="shared" ref="F359:F367" si="57">E359/D359</f>
        <v>1</v>
      </c>
      <c r="G359" s="438"/>
      <c r="H359" s="131" t="s">
        <v>31</v>
      </c>
      <c r="I359" s="193">
        <v>0</v>
      </c>
      <c r="J359" s="439"/>
      <c r="K359" s="439"/>
      <c r="L359" s="99"/>
      <c r="M359" s="99"/>
      <c r="N359" s="99"/>
      <c r="O359" s="99"/>
      <c r="P359" s="74"/>
      <c r="Q359" s="75"/>
      <c r="R359" s="75"/>
      <c r="S359" s="75"/>
      <c r="T359" s="75"/>
    </row>
    <row r="360" spans="1:20" s="76" customFormat="1" ht="12" customHeight="1" x14ac:dyDescent="0.25">
      <c r="A360" s="436"/>
      <c r="B360" s="437"/>
      <c r="C360" s="193" t="s">
        <v>32</v>
      </c>
      <c r="D360" s="130">
        <f t="shared" ref="D360:E362" si="58">D365</f>
        <v>3260900</v>
      </c>
      <c r="E360" s="130">
        <f t="shared" si="58"/>
        <v>2068124</v>
      </c>
      <c r="F360" s="623">
        <f t="shared" si="57"/>
        <v>0.63421877395810977</v>
      </c>
      <c r="G360" s="438"/>
      <c r="H360" s="131" t="s">
        <v>33</v>
      </c>
      <c r="I360" s="193">
        <v>1</v>
      </c>
      <c r="J360" s="439"/>
      <c r="K360" s="439"/>
      <c r="L360" s="99"/>
      <c r="M360" s="99"/>
      <c r="N360" s="99"/>
      <c r="O360" s="99"/>
      <c r="P360" s="74"/>
      <c r="Q360" s="75"/>
      <c r="R360" s="75"/>
      <c r="S360" s="75"/>
      <c r="T360" s="75"/>
    </row>
    <row r="361" spans="1:20" s="76" customFormat="1" ht="12" customHeight="1" x14ac:dyDescent="0.25">
      <c r="A361" s="436"/>
      <c r="B361" s="437"/>
      <c r="C361" s="193" t="s">
        <v>34</v>
      </c>
      <c r="D361" s="130">
        <f t="shared" si="58"/>
        <v>0</v>
      </c>
      <c r="E361" s="130">
        <f t="shared" si="58"/>
        <v>0</v>
      </c>
      <c r="F361" s="623">
        <v>0</v>
      </c>
      <c r="G361" s="438"/>
      <c r="H361" s="131" t="s">
        <v>35</v>
      </c>
      <c r="I361" s="193">
        <v>0</v>
      </c>
      <c r="J361" s="439"/>
      <c r="K361" s="439"/>
      <c r="L361" s="99"/>
      <c r="M361" s="99"/>
      <c r="N361" s="99"/>
      <c r="O361" s="99"/>
      <c r="P361" s="74"/>
      <c r="Q361" s="75"/>
      <c r="R361" s="75"/>
      <c r="S361" s="75"/>
      <c r="T361" s="75"/>
    </row>
    <row r="362" spans="1:20" s="76" customFormat="1" ht="12" customHeight="1" x14ac:dyDescent="0.25">
      <c r="A362" s="436"/>
      <c r="B362" s="437"/>
      <c r="C362" s="193" t="s">
        <v>36</v>
      </c>
      <c r="D362" s="130">
        <f t="shared" si="58"/>
        <v>4292298</v>
      </c>
      <c r="E362" s="130">
        <f t="shared" si="58"/>
        <v>4292298</v>
      </c>
      <c r="F362" s="623">
        <f t="shared" si="57"/>
        <v>1</v>
      </c>
      <c r="G362" s="438"/>
      <c r="H362" s="131" t="s">
        <v>37</v>
      </c>
      <c r="I362" s="623">
        <f>(I34+0.5*I35)/I33*100%</f>
        <v>1</v>
      </c>
      <c r="J362" s="439"/>
      <c r="K362" s="439"/>
      <c r="L362" s="99"/>
      <c r="M362" s="99"/>
      <c r="N362" s="99"/>
      <c r="O362" s="99"/>
      <c r="P362" s="74"/>
      <c r="Q362" s="75"/>
      <c r="R362" s="75"/>
      <c r="S362" s="75"/>
      <c r="T362" s="75"/>
    </row>
    <row r="363" spans="1:20" s="70" customFormat="1" ht="12" customHeight="1" x14ac:dyDescent="0.25">
      <c r="A363" s="440" t="s">
        <v>171</v>
      </c>
      <c r="B363" s="441" t="s">
        <v>172</v>
      </c>
      <c r="C363" s="77" t="s">
        <v>28</v>
      </c>
      <c r="D363" s="78">
        <f>D364+D365+D366+D367</f>
        <v>13882912.120000001</v>
      </c>
      <c r="E363" s="78">
        <f>E364+E365+E366+E367</f>
        <v>12690136.120000001</v>
      </c>
      <c r="F363" s="624">
        <f t="shared" si="57"/>
        <v>0.91408315563118325</v>
      </c>
      <c r="G363" s="441" t="s">
        <v>48</v>
      </c>
      <c r="H363" s="441" t="s">
        <v>49</v>
      </c>
      <c r="I363" s="440" t="s">
        <v>880</v>
      </c>
      <c r="J363" s="434" t="s">
        <v>888</v>
      </c>
      <c r="K363" s="434"/>
      <c r="L363" s="235"/>
      <c r="M363" s="235"/>
      <c r="N363" s="235"/>
      <c r="O363" s="235"/>
      <c r="P363" s="68"/>
      <c r="Q363" s="69"/>
      <c r="R363" s="69"/>
      <c r="S363" s="69"/>
      <c r="T363" s="69"/>
    </row>
    <row r="364" spans="1:20" s="76" customFormat="1" ht="12" customHeight="1" x14ac:dyDescent="0.25">
      <c r="A364" s="440"/>
      <c r="B364" s="441"/>
      <c r="C364" s="185" t="s">
        <v>30</v>
      </c>
      <c r="D364" s="80">
        <f>'[6]табл.8 уточнение 2021 04.02. '!$H$427</f>
        <v>6329714.1200000001</v>
      </c>
      <c r="E364" s="132">
        <f>'31 12 2021'!M96+'31 12 2021'!M99+'31 12 2021'!M100+'31 12 2021'!M95</f>
        <v>6329714.1200000001</v>
      </c>
      <c r="F364" s="625">
        <f t="shared" si="57"/>
        <v>1</v>
      </c>
      <c r="G364" s="441"/>
      <c r="H364" s="441"/>
      <c r="I364" s="440"/>
      <c r="J364" s="434"/>
      <c r="K364" s="434"/>
      <c r="L364" s="99"/>
      <c r="M364" s="99"/>
      <c r="N364" s="99"/>
      <c r="O364" s="99"/>
      <c r="P364" s="74"/>
      <c r="Q364" s="75"/>
      <c r="R364" s="75"/>
      <c r="S364" s="75"/>
      <c r="T364" s="75"/>
    </row>
    <row r="365" spans="1:20" s="76" customFormat="1" ht="12" customHeight="1" x14ac:dyDescent="0.25">
      <c r="A365" s="440"/>
      <c r="B365" s="441"/>
      <c r="C365" s="185" t="s">
        <v>32</v>
      </c>
      <c r="D365" s="80">
        <f>'[6]табл.8 уточнение 2021 04.02. '!$F$427</f>
        <v>3260900</v>
      </c>
      <c r="E365" s="132">
        <f>'31 12 2021'!M97+'31 12 2021'!M98</f>
        <v>2068124</v>
      </c>
      <c r="F365" s="625">
        <f t="shared" si="57"/>
        <v>0.63421877395810977</v>
      </c>
      <c r="G365" s="441"/>
      <c r="H365" s="441"/>
      <c r="I365" s="440"/>
      <c r="J365" s="434"/>
      <c r="K365" s="434"/>
      <c r="L365" s="99"/>
      <c r="M365" s="99"/>
      <c r="N365" s="99"/>
      <c r="O365" s="99"/>
      <c r="P365" s="74"/>
      <c r="Q365" s="75"/>
      <c r="R365" s="75"/>
      <c r="S365" s="75"/>
      <c r="T365" s="75"/>
    </row>
    <row r="366" spans="1:20" s="76" customFormat="1" ht="12" customHeight="1" x14ac:dyDescent="0.25">
      <c r="A366" s="440"/>
      <c r="B366" s="441"/>
      <c r="C366" s="185" t="s">
        <v>34</v>
      </c>
      <c r="D366" s="80">
        <f>0</f>
        <v>0</v>
      </c>
      <c r="E366" s="80">
        <v>0</v>
      </c>
      <c r="F366" s="625">
        <v>0</v>
      </c>
      <c r="G366" s="441"/>
      <c r="H366" s="441"/>
      <c r="I366" s="440"/>
      <c r="J366" s="434"/>
      <c r="K366" s="434"/>
      <c r="L366" s="99"/>
      <c r="M366" s="99"/>
      <c r="N366" s="99"/>
      <c r="O366" s="99"/>
      <c r="P366" s="74"/>
      <c r="Q366" s="75"/>
      <c r="R366" s="75"/>
      <c r="S366" s="75"/>
      <c r="T366" s="75"/>
    </row>
    <row r="367" spans="1:20" s="76" customFormat="1" ht="12" customHeight="1" x14ac:dyDescent="0.25">
      <c r="A367" s="440"/>
      <c r="B367" s="441"/>
      <c r="C367" s="185" t="s">
        <v>36</v>
      </c>
      <c r="D367" s="80">
        <f>'[6]табл.8 уточнение 2021 04.02. '!$I$427</f>
        <v>4292298</v>
      </c>
      <c r="E367" s="132">
        <f>'[7]МП Образование ВБС 01.01.2021'!$E$172</f>
        <v>4292298</v>
      </c>
      <c r="F367" s="625">
        <f t="shared" si="57"/>
        <v>1</v>
      </c>
      <c r="G367" s="441"/>
      <c r="H367" s="441"/>
      <c r="I367" s="440"/>
      <c r="J367" s="434"/>
      <c r="K367" s="434"/>
      <c r="L367" s="99"/>
      <c r="M367" s="99"/>
      <c r="N367" s="99"/>
      <c r="O367" s="99"/>
      <c r="P367" s="74"/>
      <c r="Q367" s="75"/>
      <c r="R367" s="75"/>
      <c r="S367" s="75"/>
      <c r="T367" s="75"/>
    </row>
    <row r="368" spans="1:20" ht="20.25" customHeight="1" x14ac:dyDescent="0.25">
      <c r="A368" s="1"/>
      <c r="C368" s="3"/>
    </row>
    <row r="369" spans="1:20" ht="23.25" customHeight="1" x14ac:dyDescent="0.25">
      <c r="A369" s="432" t="s">
        <v>173</v>
      </c>
      <c r="B369" s="432"/>
      <c r="C369" s="432"/>
      <c r="D369" s="432"/>
      <c r="E369" s="432"/>
      <c r="F369" s="432"/>
      <c r="G369" s="432"/>
      <c r="H369" s="432"/>
      <c r="I369" s="432"/>
      <c r="J369" s="432"/>
      <c r="K369" s="432"/>
    </row>
    <row r="370" spans="1:20" ht="59.25" customHeight="1" x14ac:dyDescent="0.25">
      <c r="A370" s="435" t="s">
        <v>174</v>
      </c>
      <c r="B370" s="435"/>
      <c r="C370" s="435"/>
      <c r="D370" s="435"/>
      <c r="E370" s="435"/>
      <c r="F370" s="435"/>
      <c r="G370" s="435"/>
      <c r="H370" s="435"/>
      <c r="I370" s="435"/>
      <c r="J370" s="435"/>
      <c r="K370" s="435"/>
    </row>
    <row r="371" spans="1:20" ht="12.75" customHeight="1" x14ac:dyDescent="0.25">
      <c r="A371" s="432" t="s">
        <v>175</v>
      </c>
      <c r="B371" s="432"/>
      <c r="C371" s="432"/>
      <c r="D371" s="432"/>
      <c r="E371" s="432"/>
      <c r="F371" s="432"/>
      <c r="G371" s="432"/>
      <c r="H371" s="432"/>
      <c r="I371" s="432"/>
      <c r="J371" s="432"/>
      <c r="K371" s="432"/>
    </row>
    <row r="372" spans="1:20" ht="90" customHeight="1" x14ac:dyDescent="0.25">
      <c r="A372" s="435" t="s">
        <v>176</v>
      </c>
      <c r="B372" s="435"/>
      <c r="C372" s="435"/>
      <c r="D372" s="435"/>
      <c r="E372" s="435"/>
      <c r="F372" s="435"/>
      <c r="G372" s="435"/>
      <c r="H372" s="435"/>
      <c r="I372" s="435"/>
      <c r="J372" s="435"/>
      <c r="K372" s="435"/>
    </row>
    <row r="373" spans="1:20" ht="15" customHeight="1" x14ac:dyDescent="0.25">
      <c r="A373" s="432" t="s">
        <v>177</v>
      </c>
      <c r="B373" s="432"/>
      <c r="C373" s="432"/>
      <c r="D373" s="432"/>
      <c r="E373" s="432"/>
      <c r="F373" s="432"/>
      <c r="G373" s="432"/>
      <c r="H373" s="432"/>
      <c r="I373" s="432"/>
      <c r="J373" s="432"/>
      <c r="K373" s="432"/>
    </row>
    <row r="374" spans="1:20" ht="26.25" customHeight="1" x14ac:dyDescent="0.25">
      <c r="A374" s="433" t="s">
        <v>178</v>
      </c>
      <c r="B374" s="433"/>
      <c r="C374" s="433"/>
      <c r="D374" s="433"/>
      <c r="E374" s="433"/>
      <c r="F374" s="433"/>
      <c r="G374" s="433"/>
      <c r="H374" s="433"/>
      <c r="I374" s="433"/>
      <c r="J374" s="433"/>
      <c r="K374" s="433"/>
    </row>
    <row r="375" spans="1:20" s="162" customFormat="1" hidden="1" x14ac:dyDescent="0.25">
      <c r="B375" s="166" t="s">
        <v>1002</v>
      </c>
      <c r="C375" s="167"/>
      <c r="D375" s="168"/>
      <c r="E375" s="342" t="s">
        <v>1003</v>
      </c>
      <c r="F375" s="626"/>
      <c r="L375" s="244"/>
      <c r="M375" s="244"/>
      <c r="N375" s="244"/>
      <c r="O375" s="244"/>
      <c r="P375" s="164"/>
      <c r="Q375" s="165"/>
      <c r="R375" s="165"/>
      <c r="S375" s="165"/>
      <c r="T375" s="165"/>
    </row>
    <row r="376" spans="1:20" s="162" customFormat="1" x14ac:dyDescent="0.25">
      <c r="D376" s="163"/>
      <c r="E376" s="343"/>
      <c r="F376" s="626"/>
      <c r="L376" s="244"/>
      <c r="M376" s="244"/>
      <c r="N376" s="244"/>
      <c r="O376" s="244"/>
      <c r="P376" s="164"/>
      <c r="Q376" s="165"/>
      <c r="R376" s="165"/>
      <c r="S376" s="165"/>
      <c r="T376" s="165"/>
    </row>
    <row r="377" spans="1:20" s="166" customFormat="1" ht="12.75" hidden="1" x14ac:dyDescent="0.2">
      <c r="B377" s="166" t="s">
        <v>183</v>
      </c>
      <c r="D377" s="169"/>
      <c r="E377" s="342"/>
      <c r="F377" s="627"/>
      <c r="L377" s="169"/>
      <c r="M377" s="169"/>
      <c r="N377" s="169"/>
      <c r="O377" s="169"/>
      <c r="Q377" s="170"/>
      <c r="R377" s="170"/>
      <c r="S377" s="170"/>
      <c r="T377" s="170"/>
    </row>
    <row r="378" spans="1:20" s="166" customFormat="1" ht="12.75" hidden="1" x14ac:dyDescent="0.2">
      <c r="B378" s="166" t="s">
        <v>184</v>
      </c>
      <c r="D378" s="169"/>
      <c r="E378" s="342"/>
      <c r="F378" s="627"/>
      <c r="L378" s="169"/>
      <c r="M378" s="169"/>
      <c r="N378" s="169"/>
      <c r="O378" s="169"/>
      <c r="Q378" s="170"/>
      <c r="R378" s="170"/>
      <c r="S378" s="170"/>
      <c r="T378" s="170"/>
    </row>
    <row r="379" spans="1:20" s="162" customFormat="1" x14ac:dyDescent="0.25">
      <c r="D379" s="163"/>
      <c r="E379" s="343"/>
      <c r="F379" s="626"/>
      <c r="L379" s="244"/>
      <c r="M379" s="244"/>
      <c r="N379" s="244"/>
      <c r="O379" s="244"/>
      <c r="P379" s="164"/>
      <c r="Q379" s="165"/>
      <c r="R379" s="165"/>
      <c r="S379" s="165"/>
      <c r="T379" s="165"/>
    </row>
    <row r="380" spans="1:20" s="162" customFormat="1" x14ac:dyDescent="0.25">
      <c r="D380" s="163"/>
      <c r="E380" s="343"/>
      <c r="F380" s="626"/>
      <c r="L380" s="244"/>
      <c r="M380" s="244"/>
      <c r="N380" s="244"/>
      <c r="O380" s="244"/>
      <c r="P380" s="164"/>
      <c r="Q380" s="165"/>
      <c r="R380" s="165"/>
      <c r="S380" s="165"/>
      <c r="T380" s="165"/>
    </row>
    <row r="381" spans="1:20" s="162" customFormat="1" x14ac:dyDescent="0.25">
      <c r="D381" s="163"/>
      <c r="E381" s="343"/>
      <c r="F381" s="626"/>
      <c r="L381" s="244"/>
      <c r="M381" s="244"/>
      <c r="N381" s="244"/>
      <c r="O381" s="244"/>
      <c r="P381" s="164"/>
      <c r="Q381" s="165"/>
      <c r="R381" s="165"/>
      <c r="S381" s="165"/>
      <c r="T381" s="165"/>
    </row>
    <row r="382" spans="1:20" s="162" customFormat="1" x14ac:dyDescent="0.25">
      <c r="D382" s="163"/>
      <c r="E382" s="343"/>
      <c r="F382" s="626"/>
      <c r="L382" s="244"/>
      <c r="M382" s="244"/>
      <c r="N382" s="244"/>
      <c r="O382" s="244"/>
      <c r="P382" s="164"/>
      <c r="Q382" s="165"/>
      <c r="R382" s="165"/>
      <c r="S382" s="165"/>
      <c r="T382" s="165"/>
    </row>
    <row r="383" spans="1:20" s="162" customFormat="1" x14ac:dyDescent="0.25">
      <c r="D383" s="163"/>
      <c r="E383" s="343"/>
      <c r="F383" s="626"/>
      <c r="L383" s="244"/>
      <c r="M383" s="244"/>
      <c r="N383" s="244"/>
      <c r="O383" s="244"/>
      <c r="P383" s="164"/>
      <c r="Q383" s="165"/>
      <c r="R383" s="165"/>
      <c r="S383" s="165"/>
      <c r="T383" s="165"/>
    </row>
    <row r="384" spans="1:20" s="162" customFormat="1" x14ac:dyDescent="0.25">
      <c r="D384" s="163"/>
      <c r="E384" s="343"/>
      <c r="F384" s="626"/>
      <c r="L384" s="244"/>
      <c r="M384" s="244"/>
      <c r="N384" s="244"/>
      <c r="O384" s="244"/>
      <c r="P384" s="164"/>
      <c r="Q384" s="165"/>
      <c r="R384" s="165"/>
      <c r="S384" s="165"/>
      <c r="T384" s="165"/>
    </row>
    <row r="385" spans="4:20" s="162" customFormat="1" x14ac:dyDescent="0.25">
      <c r="D385" s="163"/>
      <c r="E385" s="343"/>
      <c r="F385" s="626"/>
      <c r="L385" s="244"/>
      <c r="M385" s="244"/>
      <c r="N385" s="244"/>
      <c r="O385" s="244"/>
      <c r="P385" s="164"/>
      <c r="Q385" s="165"/>
      <c r="R385" s="165"/>
      <c r="S385" s="165"/>
      <c r="T385" s="165"/>
    </row>
  </sheetData>
  <mergeCells count="458">
    <mergeCell ref="A353:A357"/>
    <mergeCell ref="B353:B357"/>
    <mergeCell ref="G353:G357"/>
    <mergeCell ref="H353:H357"/>
    <mergeCell ref="I353:I357"/>
    <mergeCell ref="J353:J357"/>
    <mergeCell ref="K353:K357"/>
    <mergeCell ref="A373:K373"/>
    <mergeCell ref="A374:K374"/>
    <mergeCell ref="J363:J367"/>
    <mergeCell ref="K363:K367"/>
    <mergeCell ref="A369:K369"/>
    <mergeCell ref="A370:K370"/>
    <mergeCell ref="A371:K371"/>
    <mergeCell ref="A372:K372"/>
    <mergeCell ref="A358:A362"/>
    <mergeCell ref="B358:B362"/>
    <mergeCell ref="G358:G362"/>
    <mergeCell ref="J358:J362"/>
    <mergeCell ref="K358:K362"/>
    <mergeCell ref="A363:A367"/>
    <mergeCell ref="B363:B367"/>
    <mergeCell ref="G363:G367"/>
    <mergeCell ref="H363:H367"/>
    <mergeCell ref="I363:I367"/>
    <mergeCell ref="A343:A347"/>
    <mergeCell ref="B343:B347"/>
    <mergeCell ref="G343:G347"/>
    <mergeCell ref="J343:J347"/>
    <mergeCell ref="K343:K347"/>
    <mergeCell ref="A348:A352"/>
    <mergeCell ref="B348:B352"/>
    <mergeCell ref="G348:G352"/>
    <mergeCell ref="H348:H352"/>
    <mergeCell ref="I348:I352"/>
    <mergeCell ref="H343:H347"/>
    <mergeCell ref="I343:I347"/>
    <mergeCell ref="J348:J352"/>
    <mergeCell ref="K348:K352"/>
    <mergeCell ref="K333:K337"/>
    <mergeCell ref="A338:A342"/>
    <mergeCell ref="B338:B342"/>
    <mergeCell ref="G338:G342"/>
    <mergeCell ref="H338:H342"/>
    <mergeCell ref="I338:I342"/>
    <mergeCell ref="J338:J342"/>
    <mergeCell ref="K338:K342"/>
    <mergeCell ref="A333:A337"/>
    <mergeCell ref="B333:B337"/>
    <mergeCell ref="G333:G337"/>
    <mergeCell ref="H333:H337"/>
    <mergeCell ref="I333:I337"/>
    <mergeCell ref="J333:J337"/>
    <mergeCell ref="A328:A332"/>
    <mergeCell ref="B328:B332"/>
    <mergeCell ref="G328:G332"/>
    <mergeCell ref="J328:J332"/>
    <mergeCell ref="K328:K332"/>
    <mergeCell ref="A318:A322"/>
    <mergeCell ref="B318:B322"/>
    <mergeCell ref="G318:G322"/>
    <mergeCell ref="J318:J322"/>
    <mergeCell ref="K318:K322"/>
    <mergeCell ref="A323:A327"/>
    <mergeCell ref="B323:B327"/>
    <mergeCell ref="G323:G327"/>
    <mergeCell ref="H323:H327"/>
    <mergeCell ref="I323:I327"/>
    <mergeCell ref="A313:A317"/>
    <mergeCell ref="B313:B317"/>
    <mergeCell ref="G313:G317"/>
    <mergeCell ref="H313:H317"/>
    <mergeCell ref="I313:I317"/>
    <mergeCell ref="J313:J317"/>
    <mergeCell ref="K313:K317"/>
    <mergeCell ref="J323:J327"/>
    <mergeCell ref="K323:K327"/>
    <mergeCell ref="A303:A307"/>
    <mergeCell ref="B303:B307"/>
    <mergeCell ref="G303:G307"/>
    <mergeCell ref="J303:J307"/>
    <mergeCell ref="K303:K307"/>
    <mergeCell ref="A308:A312"/>
    <mergeCell ref="B308:B312"/>
    <mergeCell ref="G308:G312"/>
    <mergeCell ref="H308:H312"/>
    <mergeCell ref="I308:I312"/>
    <mergeCell ref="J308:J312"/>
    <mergeCell ref="K308:K312"/>
    <mergeCell ref="A293:A297"/>
    <mergeCell ref="B293:B297"/>
    <mergeCell ref="G293:G297"/>
    <mergeCell ref="J293:J297"/>
    <mergeCell ref="K293:K297"/>
    <mergeCell ref="A298:A302"/>
    <mergeCell ref="B298:B302"/>
    <mergeCell ref="G298:G302"/>
    <mergeCell ref="J298:J302"/>
    <mergeCell ref="K298:K302"/>
    <mergeCell ref="H293:H297"/>
    <mergeCell ref="I293:I297"/>
    <mergeCell ref="J283:J287"/>
    <mergeCell ref="K283:K287"/>
    <mergeCell ref="A288:A292"/>
    <mergeCell ref="B288:B292"/>
    <mergeCell ref="G288:G292"/>
    <mergeCell ref="J288:J292"/>
    <mergeCell ref="K288:K292"/>
    <mergeCell ref="A278:A282"/>
    <mergeCell ref="B278:B282"/>
    <mergeCell ref="G278:G282"/>
    <mergeCell ref="J278:J282"/>
    <mergeCell ref="K278:K282"/>
    <mergeCell ref="A283:A287"/>
    <mergeCell ref="B283:B287"/>
    <mergeCell ref="G283:G287"/>
    <mergeCell ref="H283:H287"/>
    <mergeCell ref="I283:I287"/>
    <mergeCell ref="H278:H282"/>
    <mergeCell ref="I278:I282"/>
    <mergeCell ref="H288:H292"/>
    <mergeCell ref="I288:I292"/>
    <mergeCell ref="K268:K272"/>
    <mergeCell ref="A273:A277"/>
    <mergeCell ref="B273:B277"/>
    <mergeCell ref="G273:G277"/>
    <mergeCell ref="H273:H277"/>
    <mergeCell ref="I273:I277"/>
    <mergeCell ref="J273:J277"/>
    <mergeCell ref="K273:K277"/>
    <mergeCell ref="A268:A272"/>
    <mergeCell ref="B268:B272"/>
    <mergeCell ref="G268:G272"/>
    <mergeCell ref="H268:H272"/>
    <mergeCell ref="I268:I272"/>
    <mergeCell ref="J268:J272"/>
    <mergeCell ref="J258:J262"/>
    <mergeCell ref="K258:K262"/>
    <mergeCell ref="A263:A267"/>
    <mergeCell ref="B263:B267"/>
    <mergeCell ref="G263:G267"/>
    <mergeCell ref="J263:J267"/>
    <mergeCell ref="K263:K267"/>
    <mergeCell ref="A253:A257"/>
    <mergeCell ref="B253:B257"/>
    <mergeCell ref="G253:G257"/>
    <mergeCell ref="J253:J257"/>
    <mergeCell ref="K253:K257"/>
    <mergeCell ref="A258:A262"/>
    <mergeCell ref="B258:B262"/>
    <mergeCell ref="G258:G262"/>
    <mergeCell ref="H258:H262"/>
    <mergeCell ref="I258:I262"/>
    <mergeCell ref="A243:A247"/>
    <mergeCell ref="B243:B247"/>
    <mergeCell ref="G243:G247"/>
    <mergeCell ref="J243:J247"/>
    <mergeCell ref="K243:K247"/>
    <mergeCell ref="A248:A252"/>
    <mergeCell ref="B248:B252"/>
    <mergeCell ref="G248:G252"/>
    <mergeCell ref="J248:J252"/>
    <mergeCell ref="K248:K252"/>
    <mergeCell ref="H243:H247"/>
    <mergeCell ref="I243:I247"/>
    <mergeCell ref="K233:K237"/>
    <mergeCell ref="A238:A242"/>
    <mergeCell ref="B238:B242"/>
    <mergeCell ref="G238:G242"/>
    <mergeCell ref="H238:H242"/>
    <mergeCell ref="I238:I242"/>
    <mergeCell ref="J238:J242"/>
    <mergeCell ref="K238:K242"/>
    <mergeCell ref="A233:A237"/>
    <mergeCell ref="B233:B237"/>
    <mergeCell ref="G233:G237"/>
    <mergeCell ref="H233:H237"/>
    <mergeCell ref="I233:I237"/>
    <mergeCell ref="J233:J237"/>
    <mergeCell ref="A228:A232"/>
    <mergeCell ref="B228:B232"/>
    <mergeCell ref="G228:G232"/>
    <mergeCell ref="J228:J232"/>
    <mergeCell ref="K228:K232"/>
    <mergeCell ref="A218:A222"/>
    <mergeCell ref="B218:B222"/>
    <mergeCell ref="G218:G222"/>
    <mergeCell ref="J218:J222"/>
    <mergeCell ref="K218:K222"/>
    <mergeCell ref="A223:A227"/>
    <mergeCell ref="B223:B227"/>
    <mergeCell ref="G223:G227"/>
    <mergeCell ref="H223:H227"/>
    <mergeCell ref="I223:I227"/>
    <mergeCell ref="H218:H222"/>
    <mergeCell ref="I218:I222"/>
    <mergeCell ref="A213:A217"/>
    <mergeCell ref="B213:B217"/>
    <mergeCell ref="G213:G217"/>
    <mergeCell ref="H213:H217"/>
    <mergeCell ref="I213:I217"/>
    <mergeCell ref="J213:J217"/>
    <mergeCell ref="K213:K217"/>
    <mergeCell ref="J223:J227"/>
    <mergeCell ref="K223:K227"/>
    <mergeCell ref="A203:A207"/>
    <mergeCell ref="B203:B207"/>
    <mergeCell ref="G203:G207"/>
    <mergeCell ref="J203:J207"/>
    <mergeCell ref="K203:K207"/>
    <mergeCell ref="A208:A212"/>
    <mergeCell ref="B208:B212"/>
    <mergeCell ref="G208:G212"/>
    <mergeCell ref="H208:H212"/>
    <mergeCell ref="I208:I212"/>
    <mergeCell ref="J208:J212"/>
    <mergeCell ref="K208:K212"/>
    <mergeCell ref="J193:J197"/>
    <mergeCell ref="K193:K197"/>
    <mergeCell ref="A198:A202"/>
    <mergeCell ref="B198:B202"/>
    <mergeCell ref="G198:G202"/>
    <mergeCell ref="J198:J202"/>
    <mergeCell ref="K198:K202"/>
    <mergeCell ref="A188:A192"/>
    <mergeCell ref="B188:B192"/>
    <mergeCell ref="G188:G192"/>
    <mergeCell ref="J188:J192"/>
    <mergeCell ref="K188:K192"/>
    <mergeCell ref="A193:A197"/>
    <mergeCell ref="B193:B197"/>
    <mergeCell ref="G193:G197"/>
    <mergeCell ref="H193:H197"/>
    <mergeCell ref="I193:I197"/>
    <mergeCell ref="H188:H192"/>
    <mergeCell ref="I188:I192"/>
    <mergeCell ref="H198:H202"/>
    <mergeCell ref="I198:I202"/>
    <mergeCell ref="K178:K182"/>
    <mergeCell ref="A183:A187"/>
    <mergeCell ref="B183:B187"/>
    <mergeCell ref="G183:G187"/>
    <mergeCell ref="H183:H187"/>
    <mergeCell ref="I183:I187"/>
    <mergeCell ref="J183:J187"/>
    <mergeCell ref="K183:K187"/>
    <mergeCell ref="A178:A182"/>
    <mergeCell ref="B178:B182"/>
    <mergeCell ref="G178:G182"/>
    <mergeCell ref="H178:H182"/>
    <mergeCell ref="I178:I182"/>
    <mergeCell ref="J178:J182"/>
    <mergeCell ref="K168:K172"/>
    <mergeCell ref="A173:A177"/>
    <mergeCell ref="B173:B177"/>
    <mergeCell ref="G173:G177"/>
    <mergeCell ref="J173:J177"/>
    <mergeCell ref="K173:K177"/>
    <mergeCell ref="A168:A172"/>
    <mergeCell ref="B168:B172"/>
    <mergeCell ref="G168:G172"/>
    <mergeCell ref="H168:H172"/>
    <mergeCell ref="I168:I172"/>
    <mergeCell ref="J168:J172"/>
    <mergeCell ref="A163:A167"/>
    <mergeCell ref="B163:B167"/>
    <mergeCell ref="G163:G167"/>
    <mergeCell ref="J163:J167"/>
    <mergeCell ref="K163:K167"/>
    <mergeCell ref="H158:H162"/>
    <mergeCell ref="I158:I162"/>
    <mergeCell ref="H163:H167"/>
    <mergeCell ref="I163:I167"/>
    <mergeCell ref="A153:A157"/>
    <mergeCell ref="B153:B157"/>
    <mergeCell ref="G153:G157"/>
    <mergeCell ref="H153:H157"/>
    <mergeCell ref="I153:I157"/>
    <mergeCell ref="J153:J157"/>
    <mergeCell ref="K153:K157"/>
    <mergeCell ref="A158:A162"/>
    <mergeCell ref="B158:B162"/>
    <mergeCell ref="G158:G162"/>
    <mergeCell ref="J158:J162"/>
    <mergeCell ref="K158:K162"/>
    <mergeCell ref="A143:A147"/>
    <mergeCell ref="B143:B147"/>
    <mergeCell ref="G143:G147"/>
    <mergeCell ref="J143:J147"/>
    <mergeCell ref="K143:K147"/>
    <mergeCell ref="A148:A152"/>
    <mergeCell ref="B148:B152"/>
    <mergeCell ref="G148:G152"/>
    <mergeCell ref="H148:H152"/>
    <mergeCell ref="I148:I152"/>
    <mergeCell ref="J148:J152"/>
    <mergeCell ref="K148:K152"/>
    <mergeCell ref="A133:A137"/>
    <mergeCell ref="B133:B137"/>
    <mergeCell ref="G133:G137"/>
    <mergeCell ref="J133:J137"/>
    <mergeCell ref="K133:K137"/>
    <mergeCell ref="A138:A142"/>
    <mergeCell ref="B138:B142"/>
    <mergeCell ref="G138:G142"/>
    <mergeCell ref="J138:J142"/>
    <mergeCell ref="K138:K142"/>
    <mergeCell ref="H133:H137"/>
    <mergeCell ref="I133:I137"/>
    <mergeCell ref="A118:A122"/>
    <mergeCell ref="B118:B122"/>
    <mergeCell ref="G118:G122"/>
    <mergeCell ref="J118:J122"/>
    <mergeCell ref="K118:K122"/>
    <mergeCell ref="H113:H117"/>
    <mergeCell ref="I113:I117"/>
    <mergeCell ref="K123:K127"/>
    <mergeCell ref="A128:A132"/>
    <mergeCell ref="B128:B132"/>
    <mergeCell ref="G128:G132"/>
    <mergeCell ref="H128:H132"/>
    <mergeCell ref="I128:I132"/>
    <mergeCell ref="J128:J132"/>
    <mergeCell ref="K128:K132"/>
    <mergeCell ref="A123:A127"/>
    <mergeCell ref="B123:B127"/>
    <mergeCell ref="G123:G127"/>
    <mergeCell ref="H123:H127"/>
    <mergeCell ref="I123:I127"/>
    <mergeCell ref="J123:J127"/>
    <mergeCell ref="A108:A112"/>
    <mergeCell ref="B108:B112"/>
    <mergeCell ref="G108:G112"/>
    <mergeCell ref="H108:H112"/>
    <mergeCell ref="I108:I112"/>
    <mergeCell ref="J108:J112"/>
    <mergeCell ref="K108:K112"/>
    <mergeCell ref="A113:A117"/>
    <mergeCell ref="B113:B117"/>
    <mergeCell ref="G113:G117"/>
    <mergeCell ref="J113:J117"/>
    <mergeCell ref="K113:K117"/>
    <mergeCell ref="A98:A102"/>
    <mergeCell ref="B98:B102"/>
    <mergeCell ref="G98:G102"/>
    <mergeCell ref="J98:J102"/>
    <mergeCell ref="K98:K102"/>
    <mergeCell ref="A103:A107"/>
    <mergeCell ref="B103:B107"/>
    <mergeCell ref="G103:G107"/>
    <mergeCell ref="H103:H107"/>
    <mergeCell ref="I103:I107"/>
    <mergeCell ref="J103:J107"/>
    <mergeCell ref="K103:K107"/>
    <mergeCell ref="A88:A92"/>
    <mergeCell ref="B88:B92"/>
    <mergeCell ref="G88:G92"/>
    <mergeCell ref="J88:J92"/>
    <mergeCell ref="K88:K92"/>
    <mergeCell ref="A93:A97"/>
    <mergeCell ref="B93:B97"/>
    <mergeCell ref="G93:G97"/>
    <mergeCell ref="J93:J97"/>
    <mergeCell ref="K93:K97"/>
    <mergeCell ref="H88:H92"/>
    <mergeCell ref="I88:I92"/>
    <mergeCell ref="K78:K82"/>
    <mergeCell ref="A83:A87"/>
    <mergeCell ref="B83:B87"/>
    <mergeCell ref="G83:G87"/>
    <mergeCell ref="H83:H87"/>
    <mergeCell ref="I83:I87"/>
    <mergeCell ref="J83:J87"/>
    <mergeCell ref="K83:K87"/>
    <mergeCell ref="A78:A82"/>
    <mergeCell ref="B78:B82"/>
    <mergeCell ref="G78:G82"/>
    <mergeCell ref="H78:H82"/>
    <mergeCell ref="I78:I82"/>
    <mergeCell ref="J78:J82"/>
    <mergeCell ref="K68:K72"/>
    <mergeCell ref="A73:A77"/>
    <mergeCell ref="B73:B77"/>
    <mergeCell ref="G73:G77"/>
    <mergeCell ref="J73:J77"/>
    <mergeCell ref="K73:K77"/>
    <mergeCell ref="A68:A72"/>
    <mergeCell ref="B68:B72"/>
    <mergeCell ref="G68:G72"/>
    <mergeCell ref="H68:H72"/>
    <mergeCell ref="I68:I72"/>
    <mergeCell ref="J68:J72"/>
    <mergeCell ref="A58:A62"/>
    <mergeCell ref="B58:B62"/>
    <mergeCell ref="G58:G62"/>
    <mergeCell ref="J58:J62"/>
    <mergeCell ref="K58:K62"/>
    <mergeCell ref="A63:A67"/>
    <mergeCell ref="B63:B67"/>
    <mergeCell ref="G63:G67"/>
    <mergeCell ref="J63:J67"/>
    <mergeCell ref="K63:K67"/>
    <mergeCell ref="H63:H67"/>
    <mergeCell ref="I63:I67"/>
    <mergeCell ref="A43:A47"/>
    <mergeCell ref="B43:B47"/>
    <mergeCell ref="G43:G47"/>
    <mergeCell ref="J43:J47"/>
    <mergeCell ref="K43:K47"/>
    <mergeCell ref="K48:K52"/>
    <mergeCell ref="A53:A57"/>
    <mergeCell ref="B53:B57"/>
    <mergeCell ref="G53:G57"/>
    <mergeCell ref="H53:H57"/>
    <mergeCell ref="I53:I57"/>
    <mergeCell ref="J53:J57"/>
    <mergeCell ref="K53:K57"/>
    <mergeCell ref="A48:A52"/>
    <mergeCell ref="B48:B52"/>
    <mergeCell ref="G48:G52"/>
    <mergeCell ref="H48:H52"/>
    <mergeCell ref="I48:I52"/>
    <mergeCell ref="J48:J52"/>
    <mergeCell ref="K28:K32"/>
    <mergeCell ref="A33:A37"/>
    <mergeCell ref="B33:B37"/>
    <mergeCell ref="G33:G37"/>
    <mergeCell ref="J33:J37"/>
    <mergeCell ref="K33:K37"/>
    <mergeCell ref="A38:A42"/>
    <mergeCell ref="B38:B42"/>
    <mergeCell ref="G38:G42"/>
    <mergeCell ref="J38:J42"/>
    <mergeCell ref="K38:K42"/>
    <mergeCell ref="A3:K3"/>
    <mergeCell ref="A16:A17"/>
    <mergeCell ref="B16:B17"/>
    <mergeCell ref="C16:E16"/>
    <mergeCell ref="F16:F17"/>
    <mergeCell ref="G16:I16"/>
    <mergeCell ref="J16:J17"/>
    <mergeCell ref="K16:K17"/>
    <mergeCell ref="H58:H62"/>
    <mergeCell ref="I58:I62"/>
    <mergeCell ref="A18:A22"/>
    <mergeCell ref="B18:B22"/>
    <mergeCell ref="G18:G22"/>
    <mergeCell ref="J18:J22"/>
    <mergeCell ref="K18:K22"/>
    <mergeCell ref="A23:A27"/>
    <mergeCell ref="B23:B27"/>
    <mergeCell ref="G23:G27"/>
    <mergeCell ref="J23:J27"/>
    <mergeCell ref="K23:K27"/>
    <mergeCell ref="A28:A32"/>
    <mergeCell ref="B28:B32"/>
    <mergeCell ref="G28:G32"/>
    <mergeCell ref="J28:J32"/>
  </mergeCells>
  <pageMargins left="0.35433070866141736" right="0.27559055118110237" top="0.98425196850393704" bottom="0.15748031496062992" header="0.31496062992125984" footer="0.11811023622047245"/>
  <pageSetup paperSize="9" scale="59" fitToHeight="0" orientation="landscape" r:id="rId1"/>
  <headerFooter>
    <oddHeader>&amp;C&amp;"Times New Roman,обычный"&amp;10 7</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J353"/>
  <sheetViews>
    <sheetView zoomScaleNormal="100" zoomScaleSheetLayoutView="100" workbookViewId="0">
      <pane xSplit="4" ySplit="2" topLeftCell="G3" activePane="bottomRight" state="frozen"/>
      <selection activeCell="N13" sqref="N13"/>
      <selection pane="topRight" activeCell="N13" sqref="N13"/>
      <selection pane="bottomLeft" activeCell="N13" sqref="N13"/>
      <selection pane="bottomRight" activeCell="N13" sqref="N13"/>
    </sheetView>
  </sheetViews>
  <sheetFormatPr defaultRowHeight="15" x14ac:dyDescent="0.25"/>
  <cols>
    <col min="1" max="1" width="5.5703125" style="247" customWidth="1"/>
    <col min="2" max="2" width="6.42578125" style="247" customWidth="1"/>
    <col min="3" max="3" width="13.28515625" style="247" customWidth="1"/>
    <col min="4" max="4" width="6" style="247" customWidth="1"/>
    <col min="5" max="5" width="13.7109375" style="247" customWidth="1"/>
    <col min="6" max="6" width="15.5703125" style="247" hidden="1" customWidth="1"/>
    <col min="7" max="7" width="14" style="247" customWidth="1"/>
    <col min="8" max="8" width="16.85546875" style="247" customWidth="1"/>
    <col min="9" max="9" width="13.85546875" style="247" customWidth="1"/>
    <col min="10" max="10" width="15.85546875" style="247" customWidth="1"/>
    <col min="11" max="11" width="15.28515625" style="247" customWidth="1"/>
    <col min="12" max="12" width="15.140625" style="247" customWidth="1"/>
    <col min="13" max="13" width="16.42578125" style="247" customWidth="1"/>
    <col min="14" max="14" width="14.28515625" style="247" customWidth="1"/>
    <col min="15" max="15" width="12.5703125" style="247" customWidth="1"/>
    <col min="16" max="16" width="14.7109375" style="247" customWidth="1"/>
    <col min="17" max="17" width="14.85546875" style="247" customWidth="1"/>
    <col min="18" max="18" width="14.7109375" style="247" customWidth="1"/>
    <col min="19" max="19" width="17.5703125" style="247" customWidth="1"/>
    <col min="20" max="20" width="12.5703125" style="247" customWidth="1"/>
    <col min="21" max="22" width="13" style="247" customWidth="1"/>
    <col min="23" max="23" width="12.140625" style="247" customWidth="1"/>
    <col min="24" max="24" width="13.140625" style="247" customWidth="1"/>
    <col min="25" max="25" width="12.5703125" style="247" customWidth="1"/>
    <col min="26" max="27" width="12.7109375" style="247" customWidth="1"/>
    <col min="28" max="28" width="12.5703125" style="247" customWidth="1"/>
    <col min="29" max="29" width="11.7109375" style="247" customWidth="1"/>
    <col min="30" max="30" width="13.42578125" style="247" customWidth="1"/>
    <col min="31" max="31" width="11.7109375" style="247" customWidth="1"/>
    <col min="32" max="256" width="9.140625" style="247"/>
    <col min="257" max="257" width="5.5703125" style="247" customWidth="1"/>
    <col min="258" max="258" width="6.42578125" style="247" customWidth="1"/>
    <col min="259" max="259" width="13.28515625" style="247" customWidth="1"/>
    <col min="260" max="260" width="6" style="247" customWidth="1"/>
    <col min="261" max="261" width="13.7109375" style="247" customWidth="1"/>
    <col min="262" max="262" width="0" style="247" hidden="1" customWidth="1"/>
    <col min="263" max="263" width="14" style="247" customWidth="1"/>
    <col min="264" max="264" width="16.85546875" style="247" customWidth="1"/>
    <col min="265" max="265" width="13.85546875" style="247" customWidth="1"/>
    <col min="266" max="266" width="15.85546875" style="247" customWidth="1"/>
    <col min="267" max="267" width="15.28515625" style="247" customWidth="1"/>
    <col min="268" max="268" width="15.140625" style="247" customWidth="1"/>
    <col min="269" max="269" width="16.42578125" style="247" customWidth="1"/>
    <col min="270" max="270" width="14.28515625" style="247" customWidth="1"/>
    <col min="271" max="271" width="12.5703125" style="247" customWidth="1"/>
    <col min="272" max="272" width="14.7109375" style="247" customWidth="1"/>
    <col min="273" max="273" width="14.85546875" style="247" customWidth="1"/>
    <col min="274" max="274" width="14.7109375" style="247" customWidth="1"/>
    <col min="275" max="275" width="17.5703125" style="247" customWidth="1"/>
    <col min="276" max="276" width="12.5703125" style="247" customWidth="1"/>
    <col min="277" max="278" width="13" style="247" customWidth="1"/>
    <col min="279" max="279" width="12.140625" style="247" customWidth="1"/>
    <col min="280" max="280" width="13.140625" style="247" customWidth="1"/>
    <col min="281" max="281" width="12.5703125" style="247" customWidth="1"/>
    <col min="282" max="283" width="12.7109375" style="247" customWidth="1"/>
    <col min="284" max="284" width="12.5703125" style="247" customWidth="1"/>
    <col min="285" max="285" width="11.7109375" style="247" customWidth="1"/>
    <col min="286" max="286" width="13.42578125" style="247" customWidth="1"/>
    <col min="287" max="287" width="11.7109375" style="247" customWidth="1"/>
    <col min="288" max="512" width="9.140625" style="247"/>
    <col min="513" max="513" width="5.5703125" style="247" customWidth="1"/>
    <col min="514" max="514" width="6.42578125" style="247" customWidth="1"/>
    <col min="515" max="515" width="13.28515625" style="247" customWidth="1"/>
    <col min="516" max="516" width="6" style="247" customWidth="1"/>
    <col min="517" max="517" width="13.7109375" style="247" customWidth="1"/>
    <col min="518" max="518" width="0" style="247" hidden="1" customWidth="1"/>
    <col min="519" max="519" width="14" style="247" customWidth="1"/>
    <col min="520" max="520" width="16.85546875" style="247" customWidth="1"/>
    <col min="521" max="521" width="13.85546875" style="247" customWidth="1"/>
    <col min="522" max="522" width="15.85546875" style="247" customWidth="1"/>
    <col min="523" max="523" width="15.28515625" style="247" customWidth="1"/>
    <col min="524" max="524" width="15.140625" style="247" customWidth="1"/>
    <col min="525" max="525" width="16.42578125" style="247" customWidth="1"/>
    <col min="526" max="526" width="14.28515625" style="247" customWidth="1"/>
    <col min="527" max="527" width="12.5703125" style="247" customWidth="1"/>
    <col min="528" max="528" width="14.7109375" style="247" customWidth="1"/>
    <col min="529" max="529" width="14.85546875" style="247" customWidth="1"/>
    <col min="530" max="530" width="14.7109375" style="247" customWidth="1"/>
    <col min="531" max="531" width="17.5703125" style="247" customWidth="1"/>
    <col min="532" max="532" width="12.5703125" style="247" customWidth="1"/>
    <col min="533" max="534" width="13" style="247" customWidth="1"/>
    <col min="535" max="535" width="12.140625" style="247" customWidth="1"/>
    <col min="536" max="536" width="13.140625" style="247" customWidth="1"/>
    <col min="537" max="537" width="12.5703125" style="247" customWidth="1"/>
    <col min="538" max="539" width="12.7109375" style="247" customWidth="1"/>
    <col min="540" max="540" width="12.5703125" style="247" customWidth="1"/>
    <col min="541" max="541" width="11.7109375" style="247" customWidth="1"/>
    <col min="542" max="542" width="13.42578125" style="247" customWidth="1"/>
    <col min="543" max="543" width="11.7109375" style="247" customWidth="1"/>
    <col min="544" max="768" width="9.140625" style="247"/>
    <col min="769" max="769" width="5.5703125" style="247" customWidth="1"/>
    <col min="770" max="770" width="6.42578125" style="247" customWidth="1"/>
    <col min="771" max="771" width="13.28515625" style="247" customWidth="1"/>
    <col min="772" max="772" width="6" style="247" customWidth="1"/>
    <col min="773" max="773" width="13.7109375" style="247" customWidth="1"/>
    <col min="774" max="774" width="0" style="247" hidden="1" customWidth="1"/>
    <col min="775" max="775" width="14" style="247" customWidth="1"/>
    <col min="776" max="776" width="16.85546875" style="247" customWidth="1"/>
    <col min="777" max="777" width="13.85546875" style="247" customWidth="1"/>
    <col min="778" max="778" width="15.85546875" style="247" customWidth="1"/>
    <col min="779" max="779" width="15.28515625" style="247" customWidth="1"/>
    <col min="780" max="780" width="15.140625" style="247" customWidth="1"/>
    <col min="781" max="781" width="16.42578125" style="247" customWidth="1"/>
    <col min="782" max="782" width="14.28515625" style="247" customWidth="1"/>
    <col min="783" max="783" width="12.5703125" style="247" customWidth="1"/>
    <col min="784" max="784" width="14.7109375" style="247" customWidth="1"/>
    <col min="785" max="785" width="14.85546875" style="247" customWidth="1"/>
    <col min="786" max="786" width="14.7109375" style="247" customWidth="1"/>
    <col min="787" max="787" width="17.5703125" style="247" customWidth="1"/>
    <col min="788" max="788" width="12.5703125" style="247" customWidth="1"/>
    <col min="789" max="790" width="13" style="247" customWidth="1"/>
    <col min="791" max="791" width="12.140625" style="247" customWidth="1"/>
    <col min="792" max="792" width="13.140625" style="247" customWidth="1"/>
    <col min="793" max="793" width="12.5703125" style="247" customWidth="1"/>
    <col min="794" max="795" width="12.7109375" style="247" customWidth="1"/>
    <col min="796" max="796" width="12.5703125" style="247" customWidth="1"/>
    <col min="797" max="797" width="11.7109375" style="247" customWidth="1"/>
    <col min="798" max="798" width="13.42578125" style="247" customWidth="1"/>
    <col min="799" max="799" width="11.7109375" style="247" customWidth="1"/>
    <col min="800" max="1024" width="9.140625" style="247"/>
    <col min="1025" max="1025" width="5.5703125" style="247" customWidth="1"/>
    <col min="1026" max="1026" width="6.42578125" style="247" customWidth="1"/>
    <col min="1027" max="1027" width="13.28515625" style="247" customWidth="1"/>
    <col min="1028" max="1028" width="6" style="247" customWidth="1"/>
    <col min="1029" max="1029" width="13.7109375" style="247" customWidth="1"/>
    <col min="1030" max="1030" width="0" style="247" hidden="1" customWidth="1"/>
    <col min="1031" max="1031" width="14" style="247" customWidth="1"/>
    <col min="1032" max="1032" width="16.85546875" style="247" customWidth="1"/>
    <col min="1033" max="1033" width="13.85546875" style="247" customWidth="1"/>
    <col min="1034" max="1034" width="15.85546875" style="247" customWidth="1"/>
    <col min="1035" max="1035" width="15.28515625" style="247" customWidth="1"/>
    <col min="1036" max="1036" width="15.140625" style="247" customWidth="1"/>
    <col min="1037" max="1037" width="16.42578125" style="247" customWidth="1"/>
    <col min="1038" max="1038" width="14.28515625" style="247" customWidth="1"/>
    <col min="1039" max="1039" width="12.5703125" style="247" customWidth="1"/>
    <col min="1040" max="1040" width="14.7109375" style="247" customWidth="1"/>
    <col min="1041" max="1041" width="14.85546875" style="247" customWidth="1"/>
    <col min="1042" max="1042" width="14.7109375" style="247" customWidth="1"/>
    <col min="1043" max="1043" width="17.5703125" style="247" customWidth="1"/>
    <col min="1044" max="1044" width="12.5703125" style="247" customWidth="1"/>
    <col min="1045" max="1046" width="13" style="247" customWidth="1"/>
    <col min="1047" max="1047" width="12.140625" style="247" customWidth="1"/>
    <col min="1048" max="1048" width="13.140625" style="247" customWidth="1"/>
    <col min="1049" max="1049" width="12.5703125" style="247" customWidth="1"/>
    <col min="1050" max="1051" width="12.7109375" style="247" customWidth="1"/>
    <col min="1052" max="1052" width="12.5703125" style="247" customWidth="1"/>
    <col min="1053" max="1053" width="11.7109375" style="247" customWidth="1"/>
    <col min="1054" max="1054" width="13.42578125" style="247" customWidth="1"/>
    <col min="1055" max="1055" width="11.7109375" style="247" customWidth="1"/>
    <col min="1056" max="1280" width="9.140625" style="247"/>
    <col min="1281" max="1281" width="5.5703125" style="247" customWidth="1"/>
    <col min="1282" max="1282" width="6.42578125" style="247" customWidth="1"/>
    <col min="1283" max="1283" width="13.28515625" style="247" customWidth="1"/>
    <col min="1284" max="1284" width="6" style="247" customWidth="1"/>
    <col min="1285" max="1285" width="13.7109375" style="247" customWidth="1"/>
    <col min="1286" max="1286" width="0" style="247" hidden="1" customWidth="1"/>
    <col min="1287" max="1287" width="14" style="247" customWidth="1"/>
    <col min="1288" max="1288" width="16.85546875" style="247" customWidth="1"/>
    <col min="1289" max="1289" width="13.85546875" style="247" customWidth="1"/>
    <col min="1290" max="1290" width="15.85546875" style="247" customWidth="1"/>
    <col min="1291" max="1291" width="15.28515625" style="247" customWidth="1"/>
    <col min="1292" max="1292" width="15.140625" style="247" customWidth="1"/>
    <col min="1293" max="1293" width="16.42578125" style="247" customWidth="1"/>
    <col min="1294" max="1294" width="14.28515625" style="247" customWidth="1"/>
    <col min="1295" max="1295" width="12.5703125" style="247" customWidth="1"/>
    <col min="1296" max="1296" width="14.7109375" style="247" customWidth="1"/>
    <col min="1297" max="1297" width="14.85546875" style="247" customWidth="1"/>
    <col min="1298" max="1298" width="14.7109375" style="247" customWidth="1"/>
    <col min="1299" max="1299" width="17.5703125" style="247" customWidth="1"/>
    <col min="1300" max="1300" width="12.5703125" style="247" customWidth="1"/>
    <col min="1301" max="1302" width="13" style="247" customWidth="1"/>
    <col min="1303" max="1303" width="12.140625" style="247" customWidth="1"/>
    <col min="1304" max="1304" width="13.140625" style="247" customWidth="1"/>
    <col min="1305" max="1305" width="12.5703125" style="247" customWidth="1"/>
    <col min="1306" max="1307" width="12.7109375" style="247" customWidth="1"/>
    <col min="1308" max="1308" width="12.5703125" style="247" customWidth="1"/>
    <col min="1309" max="1309" width="11.7109375" style="247" customWidth="1"/>
    <col min="1310" max="1310" width="13.42578125" style="247" customWidth="1"/>
    <col min="1311" max="1311" width="11.7109375" style="247" customWidth="1"/>
    <col min="1312" max="1536" width="9.140625" style="247"/>
    <col min="1537" max="1537" width="5.5703125" style="247" customWidth="1"/>
    <col min="1538" max="1538" width="6.42578125" style="247" customWidth="1"/>
    <col min="1539" max="1539" width="13.28515625" style="247" customWidth="1"/>
    <col min="1540" max="1540" width="6" style="247" customWidth="1"/>
    <col min="1541" max="1541" width="13.7109375" style="247" customWidth="1"/>
    <col min="1542" max="1542" width="0" style="247" hidden="1" customWidth="1"/>
    <col min="1543" max="1543" width="14" style="247" customWidth="1"/>
    <col min="1544" max="1544" width="16.85546875" style="247" customWidth="1"/>
    <col min="1545" max="1545" width="13.85546875" style="247" customWidth="1"/>
    <col min="1546" max="1546" width="15.85546875" style="247" customWidth="1"/>
    <col min="1547" max="1547" width="15.28515625" style="247" customWidth="1"/>
    <col min="1548" max="1548" width="15.140625" style="247" customWidth="1"/>
    <col min="1549" max="1549" width="16.42578125" style="247" customWidth="1"/>
    <col min="1550" max="1550" width="14.28515625" style="247" customWidth="1"/>
    <col min="1551" max="1551" width="12.5703125" style="247" customWidth="1"/>
    <col min="1552" max="1552" width="14.7109375" style="247" customWidth="1"/>
    <col min="1553" max="1553" width="14.85546875" style="247" customWidth="1"/>
    <col min="1554" max="1554" width="14.7109375" style="247" customWidth="1"/>
    <col min="1555" max="1555" width="17.5703125" style="247" customWidth="1"/>
    <col min="1556" max="1556" width="12.5703125" style="247" customWidth="1"/>
    <col min="1557" max="1558" width="13" style="247" customWidth="1"/>
    <col min="1559" max="1559" width="12.140625" style="247" customWidth="1"/>
    <col min="1560" max="1560" width="13.140625" style="247" customWidth="1"/>
    <col min="1561" max="1561" width="12.5703125" style="247" customWidth="1"/>
    <col min="1562" max="1563" width="12.7109375" style="247" customWidth="1"/>
    <col min="1564" max="1564" width="12.5703125" style="247" customWidth="1"/>
    <col min="1565" max="1565" width="11.7109375" style="247" customWidth="1"/>
    <col min="1566" max="1566" width="13.42578125" style="247" customWidth="1"/>
    <col min="1567" max="1567" width="11.7109375" style="247" customWidth="1"/>
    <col min="1568" max="1792" width="9.140625" style="247"/>
    <col min="1793" max="1793" width="5.5703125" style="247" customWidth="1"/>
    <col min="1794" max="1794" width="6.42578125" style="247" customWidth="1"/>
    <col min="1795" max="1795" width="13.28515625" style="247" customWidth="1"/>
    <col min="1796" max="1796" width="6" style="247" customWidth="1"/>
    <col min="1797" max="1797" width="13.7109375" style="247" customWidth="1"/>
    <col min="1798" max="1798" width="0" style="247" hidden="1" customWidth="1"/>
    <col min="1799" max="1799" width="14" style="247" customWidth="1"/>
    <col min="1800" max="1800" width="16.85546875" style="247" customWidth="1"/>
    <col min="1801" max="1801" width="13.85546875" style="247" customWidth="1"/>
    <col min="1802" max="1802" width="15.85546875" style="247" customWidth="1"/>
    <col min="1803" max="1803" width="15.28515625" style="247" customWidth="1"/>
    <col min="1804" max="1804" width="15.140625" style="247" customWidth="1"/>
    <col min="1805" max="1805" width="16.42578125" style="247" customWidth="1"/>
    <col min="1806" max="1806" width="14.28515625" style="247" customWidth="1"/>
    <col min="1807" max="1807" width="12.5703125" style="247" customWidth="1"/>
    <col min="1808" max="1808" width="14.7109375" style="247" customWidth="1"/>
    <col min="1809" max="1809" width="14.85546875" style="247" customWidth="1"/>
    <col min="1810" max="1810" width="14.7109375" style="247" customWidth="1"/>
    <col min="1811" max="1811" width="17.5703125" style="247" customWidth="1"/>
    <col min="1812" max="1812" width="12.5703125" style="247" customWidth="1"/>
    <col min="1813" max="1814" width="13" style="247" customWidth="1"/>
    <col min="1815" max="1815" width="12.140625" style="247" customWidth="1"/>
    <col min="1816" max="1816" width="13.140625" style="247" customWidth="1"/>
    <col min="1817" max="1817" width="12.5703125" style="247" customWidth="1"/>
    <col min="1818" max="1819" width="12.7109375" style="247" customWidth="1"/>
    <col min="1820" max="1820" width="12.5703125" style="247" customWidth="1"/>
    <col min="1821" max="1821" width="11.7109375" style="247" customWidth="1"/>
    <col min="1822" max="1822" width="13.42578125" style="247" customWidth="1"/>
    <col min="1823" max="1823" width="11.7109375" style="247" customWidth="1"/>
    <col min="1824" max="2048" width="9.140625" style="247"/>
    <col min="2049" max="2049" width="5.5703125" style="247" customWidth="1"/>
    <col min="2050" max="2050" width="6.42578125" style="247" customWidth="1"/>
    <col min="2051" max="2051" width="13.28515625" style="247" customWidth="1"/>
    <col min="2052" max="2052" width="6" style="247" customWidth="1"/>
    <col min="2053" max="2053" width="13.7109375" style="247" customWidth="1"/>
    <col min="2054" max="2054" width="0" style="247" hidden="1" customWidth="1"/>
    <col min="2055" max="2055" width="14" style="247" customWidth="1"/>
    <col min="2056" max="2056" width="16.85546875" style="247" customWidth="1"/>
    <col min="2057" max="2057" width="13.85546875" style="247" customWidth="1"/>
    <col min="2058" max="2058" width="15.85546875" style="247" customWidth="1"/>
    <col min="2059" max="2059" width="15.28515625" style="247" customWidth="1"/>
    <col min="2060" max="2060" width="15.140625" style="247" customWidth="1"/>
    <col min="2061" max="2061" width="16.42578125" style="247" customWidth="1"/>
    <col min="2062" max="2062" width="14.28515625" style="247" customWidth="1"/>
    <col min="2063" max="2063" width="12.5703125" style="247" customWidth="1"/>
    <col min="2064" max="2064" width="14.7109375" style="247" customWidth="1"/>
    <col min="2065" max="2065" width="14.85546875" style="247" customWidth="1"/>
    <col min="2066" max="2066" width="14.7109375" style="247" customWidth="1"/>
    <col min="2067" max="2067" width="17.5703125" style="247" customWidth="1"/>
    <col min="2068" max="2068" width="12.5703125" style="247" customWidth="1"/>
    <col min="2069" max="2070" width="13" style="247" customWidth="1"/>
    <col min="2071" max="2071" width="12.140625" style="247" customWidth="1"/>
    <col min="2072" max="2072" width="13.140625" style="247" customWidth="1"/>
    <col min="2073" max="2073" width="12.5703125" style="247" customWidth="1"/>
    <col min="2074" max="2075" width="12.7109375" style="247" customWidth="1"/>
    <col min="2076" max="2076" width="12.5703125" style="247" customWidth="1"/>
    <col min="2077" max="2077" width="11.7109375" style="247" customWidth="1"/>
    <col min="2078" max="2078" width="13.42578125" style="247" customWidth="1"/>
    <col min="2079" max="2079" width="11.7109375" style="247" customWidth="1"/>
    <col min="2080" max="2304" width="9.140625" style="247"/>
    <col min="2305" max="2305" width="5.5703125" style="247" customWidth="1"/>
    <col min="2306" max="2306" width="6.42578125" style="247" customWidth="1"/>
    <col min="2307" max="2307" width="13.28515625" style="247" customWidth="1"/>
    <col min="2308" max="2308" width="6" style="247" customWidth="1"/>
    <col min="2309" max="2309" width="13.7109375" style="247" customWidth="1"/>
    <col min="2310" max="2310" width="0" style="247" hidden="1" customWidth="1"/>
    <col min="2311" max="2311" width="14" style="247" customWidth="1"/>
    <col min="2312" max="2312" width="16.85546875" style="247" customWidth="1"/>
    <col min="2313" max="2313" width="13.85546875" style="247" customWidth="1"/>
    <col min="2314" max="2314" width="15.85546875" style="247" customWidth="1"/>
    <col min="2315" max="2315" width="15.28515625" style="247" customWidth="1"/>
    <col min="2316" max="2316" width="15.140625" style="247" customWidth="1"/>
    <col min="2317" max="2317" width="16.42578125" style="247" customWidth="1"/>
    <col min="2318" max="2318" width="14.28515625" style="247" customWidth="1"/>
    <col min="2319" max="2319" width="12.5703125" style="247" customWidth="1"/>
    <col min="2320" max="2320" width="14.7109375" style="247" customWidth="1"/>
    <col min="2321" max="2321" width="14.85546875" style="247" customWidth="1"/>
    <col min="2322" max="2322" width="14.7109375" style="247" customWidth="1"/>
    <col min="2323" max="2323" width="17.5703125" style="247" customWidth="1"/>
    <col min="2324" max="2324" width="12.5703125" style="247" customWidth="1"/>
    <col min="2325" max="2326" width="13" style="247" customWidth="1"/>
    <col min="2327" max="2327" width="12.140625" style="247" customWidth="1"/>
    <col min="2328" max="2328" width="13.140625" style="247" customWidth="1"/>
    <col min="2329" max="2329" width="12.5703125" style="247" customWidth="1"/>
    <col min="2330" max="2331" width="12.7109375" style="247" customWidth="1"/>
    <col min="2332" max="2332" width="12.5703125" style="247" customWidth="1"/>
    <col min="2333" max="2333" width="11.7109375" style="247" customWidth="1"/>
    <col min="2334" max="2334" width="13.42578125" style="247" customWidth="1"/>
    <col min="2335" max="2335" width="11.7109375" style="247" customWidth="1"/>
    <col min="2336" max="2560" width="9.140625" style="247"/>
    <col min="2561" max="2561" width="5.5703125" style="247" customWidth="1"/>
    <col min="2562" max="2562" width="6.42578125" style="247" customWidth="1"/>
    <col min="2563" max="2563" width="13.28515625" style="247" customWidth="1"/>
    <col min="2564" max="2564" width="6" style="247" customWidth="1"/>
    <col min="2565" max="2565" width="13.7109375" style="247" customWidth="1"/>
    <col min="2566" max="2566" width="0" style="247" hidden="1" customWidth="1"/>
    <col min="2567" max="2567" width="14" style="247" customWidth="1"/>
    <col min="2568" max="2568" width="16.85546875" style="247" customWidth="1"/>
    <col min="2569" max="2569" width="13.85546875" style="247" customWidth="1"/>
    <col min="2570" max="2570" width="15.85546875" style="247" customWidth="1"/>
    <col min="2571" max="2571" width="15.28515625" style="247" customWidth="1"/>
    <col min="2572" max="2572" width="15.140625" style="247" customWidth="1"/>
    <col min="2573" max="2573" width="16.42578125" style="247" customWidth="1"/>
    <col min="2574" max="2574" width="14.28515625" style="247" customWidth="1"/>
    <col min="2575" max="2575" width="12.5703125" style="247" customWidth="1"/>
    <col min="2576" max="2576" width="14.7109375" style="247" customWidth="1"/>
    <col min="2577" max="2577" width="14.85546875" style="247" customWidth="1"/>
    <col min="2578" max="2578" width="14.7109375" style="247" customWidth="1"/>
    <col min="2579" max="2579" width="17.5703125" style="247" customWidth="1"/>
    <col min="2580" max="2580" width="12.5703125" style="247" customWidth="1"/>
    <col min="2581" max="2582" width="13" style="247" customWidth="1"/>
    <col min="2583" max="2583" width="12.140625" style="247" customWidth="1"/>
    <col min="2584" max="2584" width="13.140625" style="247" customWidth="1"/>
    <col min="2585" max="2585" width="12.5703125" style="247" customWidth="1"/>
    <col min="2586" max="2587" width="12.7109375" style="247" customWidth="1"/>
    <col min="2588" max="2588" width="12.5703125" style="247" customWidth="1"/>
    <col min="2589" max="2589" width="11.7109375" style="247" customWidth="1"/>
    <col min="2590" max="2590" width="13.42578125" style="247" customWidth="1"/>
    <col min="2591" max="2591" width="11.7109375" style="247" customWidth="1"/>
    <col min="2592" max="2816" width="9.140625" style="247"/>
    <col min="2817" max="2817" width="5.5703125" style="247" customWidth="1"/>
    <col min="2818" max="2818" width="6.42578125" style="247" customWidth="1"/>
    <col min="2819" max="2819" width="13.28515625" style="247" customWidth="1"/>
    <col min="2820" max="2820" width="6" style="247" customWidth="1"/>
    <col min="2821" max="2821" width="13.7109375" style="247" customWidth="1"/>
    <col min="2822" max="2822" width="0" style="247" hidden="1" customWidth="1"/>
    <col min="2823" max="2823" width="14" style="247" customWidth="1"/>
    <col min="2824" max="2824" width="16.85546875" style="247" customWidth="1"/>
    <col min="2825" max="2825" width="13.85546875" style="247" customWidth="1"/>
    <col min="2826" max="2826" width="15.85546875" style="247" customWidth="1"/>
    <col min="2827" max="2827" width="15.28515625" style="247" customWidth="1"/>
    <col min="2828" max="2828" width="15.140625" style="247" customWidth="1"/>
    <col min="2829" max="2829" width="16.42578125" style="247" customWidth="1"/>
    <col min="2830" max="2830" width="14.28515625" style="247" customWidth="1"/>
    <col min="2831" max="2831" width="12.5703125" style="247" customWidth="1"/>
    <col min="2832" max="2832" width="14.7109375" style="247" customWidth="1"/>
    <col min="2833" max="2833" width="14.85546875" style="247" customWidth="1"/>
    <col min="2834" max="2834" width="14.7109375" style="247" customWidth="1"/>
    <col min="2835" max="2835" width="17.5703125" style="247" customWidth="1"/>
    <col min="2836" max="2836" width="12.5703125" style="247" customWidth="1"/>
    <col min="2837" max="2838" width="13" style="247" customWidth="1"/>
    <col min="2839" max="2839" width="12.140625" style="247" customWidth="1"/>
    <col min="2840" max="2840" width="13.140625" style="247" customWidth="1"/>
    <col min="2841" max="2841" width="12.5703125" style="247" customWidth="1"/>
    <col min="2842" max="2843" width="12.7109375" style="247" customWidth="1"/>
    <col min="2844" max="2844" width="12.5703125" style="247" customWidth="1"/>
    <col min="2845" max="2845" width="11.7109375" style="247" customWidth="1"/>
    <col min="2846" max="2846" width="13.42578125" style="247" customWidth="1"/>
    <col min="2847" max="2847" width="11.7109375" style="247" customWidth="1"/>
    <col min="2848" max="3072" width="9.140625" style="247"/>
    <col min="3073" max="3073" width="5.5703125" style="247" customWidth="1"/>
    <col min="3074" max="3074" width="6.42578125" style="247" customWidth="1"/>
    <col min="3075" max="3075" width="13.28515625" style="247" customWidth="1"/>
    <col min="3076" max="3076" width="6" style="247" customWidth="1"/>
    <col min="3077" max="3077" width="13.7109375" style="247" customWidth="1"/>
    <col min="3078" max="3078" width="0" style="247" hidden="1" customWidth="1"/>
    <col min="3079" max="3079" width="14" style="247" customWidth="1"/>
    <col min="3080" max="3080" width="16.85546875" style="247" customWidth="1"/>
    <col min="3081" max="3081" width="13.85546875" style="247" customWidth="1"/>
    <col min="3082" max="3082" width="15.85546875" style="247" customWidth="1"/>
    <col min="3083" max="3083" width="15.28515625" style="247" customWidth="1"/>
    <col min="3084" max="3084" width="15.140625" style="247" customWidth="1"/>
    <col min="3085" max="3085" width="16.42578125" style="247" customWidth="1"/>
    <col min="3086" max="3086" width="14.28515625" style="247" customWidth="1"/>
    <col min="3087" max="3087" width="12.5703125" style="247" customWidth="1"/>
    <col min="3088" max="3088" width="14.7109375" style="247" customWidth="1"/>
    <col min="3089" max="3089" width="14.85546875" style="247" customWidth="1"/>
    <col min="3090" max="3090" width="14.7109375" style="247" customWidth="1"/>
    <col min="3091" max="3091" width="17.5703125" style="247" customWidth="1"/>
    <col min="3092" max="3092" width="12.5703125" style="247" customWidth="1"/>
    <col min="3093" max="3094" width="13" style="247" customWidth="1"/>
    <col min="3095" max="3095" width="12.140625" style="247" customWidth="1"/>
    <col min="3096" max="3096" width="13.140625" style="247" customWidth="1"/>
    <col min="3097" max="3097" width="12.5703125" style="247" customWidth="1"/>
    <col min="3098" max="3099" width="12.7109375" style="247" customWidth="1"/>
    <col min="3100" max="3100" width="12.5703125" style="247" customWidth="1"/>
    <col min="3101" max="3101" width="11.7109375" style="247" customWidth="1"/>
    <col min="3102" max="3102" width="13.42578125" style="247" customWidth="1"/>
    <col min="3103" max="3103" width="11.7109375" style="247" customWidth="1"/>
    <col min="3104" max="3328" width="9.140625" style="247"/>
    <col min="3329" max="3329" width="5.5703125" style="247" customWidth="1"/>
    <col min="3330" max="3330" width="6.42578125" style="247" customWidth="1"/>
    <col min="3331" max="3331" width="13.28515625" style="247" customWidth="1"/>
    <col min="3332" max="3332" width="6" style="247" customWidth="1"/>
    <col min="3333" max="3333" width="13.7109375" style="247" customWidth="1"/>
    <col min="3334" max="3334" width="0" style="247" hidden="1" customWidth="1"/>
    <col min="3335" max="3335" width="14" style="247" customWidth="1"/>
    <col min="3336" max="3336" width="16.85546875" style="247" customWidth="1"/>
    <col min="3337" max="3337" width="13.85546875" style="247" customWidth="1"/>
    <col min="3338" max="3338" width="15.85546875" style="247" customWidth="1"/>
    <col min="3339" max="3339" width="15.28515625" style="247" customWidth="1"/>
    <col min="3340" max="3340" width="15.140625" style="247" customWidth="1"/>
    <col min="3341" max="3341" width="16.42578125" style="247" customWidth="1"/>
    <col min="3342" max="3342" width="14.28515625" style="247" customWidth="1"/>
    <col min="3343" max="3343" width="12.5703125" style="247" customWidth="1"/>
    <col min="3344" max="3344" width="14.7109375" style="247" customWidth="1"/>
    <col min="3345" max="3345" width="14.85546875" style="247" customWidth="1"/>
    <col min="3346" max="3346" width="14.7109375" style="247" customWidth="1"/>
    <col min="3347" max="3347" width="17.5703125" style="247" customWidth="1"/>
    <col min="3348" max="3348" width="12.5703125" style="247" customWidth="1"/>
    <col min="3349" max="3350" width="13" style="247" customWidth="1"/>
    <col min="3351" max="3351" width="12.140625" style="247" customWidth="1"/>
    <col min="3352" max="3352" width="13.140625" style="247" customWidth="1"/>
    <col min="3353" max="3353" width="12.5703125" style="247" customWidth="1"/>
    <col min="3354" max="3355" width="12.7109375" style="247" customWidth="1"/>
    <col min="3356" max="3356" width="12.5703125" style="247" customWidth="1"/>
    <col min="3357" max="3357" width="11.7109375" style="247" customWidth="1"/>
    <col min="3358" max="3358" width="13.42578125" style="247" customWidth="1"/>
    <col min="3359" max="3359" width="11.7109375" style="247" customWidth="1"/>
    <col min="3360" max="3584" width="9.140625" style="247"/>
    <col min="3585" max="3585" width="5.5703125" style="247" customWidth="1"/>
    <col min="3586" max="3586" width="6.42578125" style="247" customWidth="1"/>
    <col min="3587" max="3587" width="13.28515625" style="247" customWidth="1"/>
    <col min="3588" max="3588" width="6" style="247" customWidth="1"/>
    <col min="3589" max="3589" width="13.7109375" style="247" customWidth="1"/>
    <col min="3590" max="3590" width="0" style="247" hidden="1" customWidth="1"/>
    <col min="3591" max="3591" width="14" style="247" customWidth="1"/>
    <col min="3592" max="3592" width="16.85546875" style="247" customWidth="1"/>
    <col min="3593" max="3593" width="13.85546875" style="247" customWidth="1"/>
    <col min="3594" max="3594" width="15.85546875" style="247" customWidth="1"/>
    <col min="3595" max="3595" width="15.28515625" style="247" customWidth="1"/>
    <col min="3596" max="3596" width="15.140625" style="247" customWidth="1"/>
    <col min="3597" max="3597" width="16.42578125" style="247" customWidth="1"/>
    <col min="3598" max="3598" width="14.28515625" style="247" customWidth="1"/>
    <col min="3599" max="3599" width="12.5703125" style="247" customWidth="1"/>
    <col min="3600" max="3600" width="14.7109375" style="247" customWidth="1"/>
    <col min="3601" max="3601" width="14.85546875" style="247" customWidth="1"/>
    <col min="3602" max="3602" width="14.7109375" style="247" customWidth="1"/>
    <col min="3603" max="3603" width="17.5703125" style="247" customWidth="1"/>
    <col min="3604" max="3604" width="12.5703125" style="247" customWidth="1"/>
    <col min="3605" max="3606" width="13" style="247" customWidth="1"/>
    <col min="3607" max="3607" width="12.140625" style="247" customWidth="1"/>
    <col min="3608" max="3608" width="13.140625" style="247" customWidth="1"/>
    <col min="3609" max="3609" width="12.5703125" style="247" customWidth="1"/>
    <col min="3610" max="3611" width="12.7109375" style="247" customWidth="1"/>
    <col min="3612" max="3612" width="12.5703125" style="247" customWidth="1"/>
    <col min="3613" max="3613" width="11.7109375" style="247" customWidth="1"/>
    <col min="3614" max="3614" width="13.42578125" style="247" customWidth="1"/>
    <col min="3615" max="3615" width="11.7109375" style="247" customWidth="1"/>
    <col min="3616" max="3840" width="9.140625" style="247"/>
    <col min="3841" max="3841" width="5.5703125" style="247" customWidth="1"/>
    <col min="3842" max="3842" width="6.42578125" style="247" customWidth="1"/>
    <col min="3843" max="3843" width="13.28515625" style="247" customWidth="1"/>
    <col min="3844" max="3844" width="6" style="247" customWidth="1"/>
    <col min="3845" max="3845" width="13.7109375" style="247" customWidth="1"/>
    <col min="3846" max="3846" width="0" style="247" hidden="1" customWidth="1"/>
    <col min="3847" max="3847" width="14" style="247" customWidth="1"/>
    <col min="3848" max="3848" width="16.85546875" style="247" customWidth="1"/>
    <col min="3849" max="3849" width="13.85546875" style="247" customWidth="1"/>
    <col min="3850" max="3850" width="15.85546875" style="247" customWidth="1"/>
    <col min="3851" max="3851" width="15.28515625" style="247" customWidth="1"/>
    <col min="3852" max="3852" width="15.140625" style="247" customWidth="1"/>
    <col min="3853" max="3853" width="16.42578125" style="247" customWidth="1"/>
    <col min="3854" max="3854" width="14.28515625" style="247" customWidth="1"/>
    <col min="3855" max="3855" width="12.5703125" style="247" customWidth="1"/>
    <col min="3856" max="3856" width="14.7109375" style="247" customWidth="1"/>
    <col min="3857" max="3857" width="14.85546875" style="247" customWidth="1"/>
    <col min="3858" max="3858" width="14.7109375" style="247" customWidth="1"/>
    <col min="3859" max="3859" width="17.5703125" style="247" customWidth="1"/>
    <col min="3860" max="3860" width="12.5703125" style="247" customWidth="1"/>
    <col min="3861" max="3862" width="13" style="247" customWidth="1"/>
    <col min="3863" max="3863" width="12.140625" style="247" customWidth="1"/>
    <col min="3864" max="3864" width="13.140625" style="247" customWidth="1"/>
    <col min="3865" max="3865" width="12.5703125" style="247" customWidth="1"/>
    <col min="3866" max="3867" width="12.7109375" style="247" customWidth="1"/>
    <col min="3868" max="3868" width="12.5703125" style="247" customWidth="1"/>
    <col min="3869" max="3869" width="11.7109375" style="247" customWidth="1"/>
    <col min="3870" max="3870" width="13.42578125" style="247" customWidth="1"/>
    <col min="3871" max="3871" width="11.7109375" style="247" customWidth="1"/>
    <col min="3872" max="4096" width="9.140625" style="247"/>
    <col min="4097" max="4097" width="5.5703125" style="247" customWidth="1"/>
    <col min="4098" max="4098" width="6.42578125" style="247" customWidth="1"/>
    <col min="4099" max="4099" width="13.28515625" style="247" customWidth="1"/>
    <col min="4100" max="4100" width="6" style="247" customWidth="1"/>
    <col min="4101" max="4101" width="13.7109375" style="247" customWidth="1"/>
    <col min="4102" max="4102" width="0" style="247" hidden="1" customWidth="1"/>
    <col min="4103" max="4103" width="14" style="247" customWidth="1"/>
    <col min="4104" max="4104" width="16.85546875" style="247" customWidth="1"/>
    <col min="4105" max="4105" width="13.85546875" style="247" customWidth="1"/>
    <col min="4106" max="4106" width="15.85546875" style="247" customWidth="1"/>
    <col min="4107" max="4107" width="15.28515625" style="247" customWidth="1"/>
    <col min="4108" max="4108" width="15.140625" style="247" customWidth="1"/>
    <col min="4109" max="4109" width="16.42578125" style="247" customWidth="1"/>
    <col min="4110" max="4110" width="14.28515625" style="247" customWidth="1"/>
    <col min="4111" max="4111" width="12.5703125" style="247" customWidth="1"/>
    <col min="4112" max="4112" width="14.7109375" style="247" customWidth="1"/>
    <col min="4113" max="4113" width="14.85546875" style="247" customWidth="1"/>
    <col min="4114" max="4114" width="14.7109375" style="247" customWidth="1"/>
    <col min="4115" max="4115" width="17.5703125" style="247" customWidth="1"/>
    <col min="4116" max="4116" width="12.5703125" style="247" customWidth="1"/>
    <col min="4117" max="4118" width="13" style="247" customWidth="1"/>
    <col min="4119" max="4119" width="12.140625" style="247" customWidth="1"/>
    <col min="4120" max="4120" width="13.140625" style="247" customWidth="1"/>
    <col min="4121" max="4121" width="12.5703125" style="247" customWidth="1"/>
    <col min="4122" max="4123" width="12.7109375" style="247" customWidth="1"/>
    <col min="4124" max="4124" width="12.5703125" style="247" customWidth="1"/>
    <col min="4125" max="4125" width="11.7109375" style="247" customWidth="1"/>
    <col min="4126" max="4126" width="13.42578125" style="247" customWidth="1"/>
    <col min="4127" max="4127" width="11.7109375" style="247" customWidth="1"/>
    <col min="4128" max="4352" width="9.140625" style="247"/>
    <col min="4353" max="4353" width="5.5703125" style="247" customWidth="1"/>
    <col min="4354" max="4354" width="6.42578125" style="247" customWidth="1"/>
    <col min="4355" max="4355" width="13.28515625" style="247" customWidth="1"/>
    <col min="4356" max="4356" width="6" style="247" customWidth="1"/>
    <col min="4357" max="4357" width="13.7109375" style="247" customWidth="1"/>
    <col min="4358" max="4358" width="0" style="247" hidden="1" customWidth="1"/>
    <col min="4359" max="4359" width="14" style="247" customWidth="1"/>
    <col min="4360" max="4360" width="16.85546875" style="247" customWidth="1"/>
    <col min="4361" max="4361" width="13.85546875" style="247" customWidth="1"/>
    <col min="4362" max="4362" width="15.85546875" style="247" customWidth="1"/>
    <col min="4363" max="4363" width="15.28515625" style="247" customWidth="1"/>
    <col min="4364" max="4364" width="15.140625" style="247" customWidth="1"/>
    <col min="4365" max="4365" width="16.42578125" style="247" customWidth="1"/>
    <col min="4366" max="4366" width="14.28515625" style="247" customWidth="1"/>
    <col min="4367" max="4367" width="12.5703125" style="247" customWidth="1"/>
    <col min="4368" max="4368" width="14.7109375" style="247" customWidth="1"/>
    <col min="4369" max="4369" width="14.85546875" style="247" customWidth="1"/>
    <col min="4370" max="4370" width="14.7109375" style="247" customWidth="1"/>
    <col min="4371" max="4371" width="17.5703125" style="247" customWidth="1"/>
    <col min="4372" max="4372" width="12.5703125" style="247" customWidth="1"/>
    <col min="4373" max="4374" width="13" style="247" customWidth="1"/>
    <col min="4375" max="4375" width="12.140625" style="247" customWidth="1"/>
    <col min="4376" max="4376" width="13.140625" style="247" customWidth="1"/>
    <col min="4377" max="4377" width="12.5703125" style="247" customWidth="1"/>
    <col min="4378" max="4379" width="12.7109375" style="247" customWidth="1"/>
    <col min="4380" max="4380" width="12.5703125" style="247" customWidth="1"/>
    <col min="4381" max="4381" width="11.7109375" style="247" customWidth="1"/>
    <col min="4382" max="4382" width="13.42578125" style="247" customWidth="1"/>
    <col min="4383" max="4383" width="11.7109375" style="247" customWidth="1"/>
    <col min="4384" max="4608" width="9.140625" style="247"/>
    <col min="4609" max="4609" width="5.5703125" style="247" customWidth="1"/>
    <col min="4610" max="4610" width="6.42578125" style="247" customWidth="1"/>
    <col min="4611" max="4611" width="13.28515625" style="247" customWidth="1"/>
    <col min="4612" max="4612" width="6" style="247" customWidth="1"/>
    <col min="4613" max="4613" width="13.7109375" style="247" customWidth="1"/>
    <col min="4614" max="4614" width="0" style="247" hidden="1" customWidth="1"/>
    <col min="4615" max="4615" width="14" style="247" customWidth="1"/>
    <col min="4616" max="4616" width="16.85546875" style="247" customWidth="1"/>
    <col min="4617" max="4617" width="13.85546875" style="247" customWidth="1"/>
    <col min="4618" max="4618" width="15.85546875" style="247" customWidth="1"/>
    <col min="4619" max="4619" width="15.28515625" style="247" customWidth="1"/>
    <col min="4620" max="4620" width="15.140625" style="247" customWidth="1"/>
    <col min="4621" max="4621" width="16.42578125" style="247" customWidth="1"/>
    <col min="4622" max="4622" width="14.28515625" style="247" customWidth="1"/>
    <col min="4623" max="4623" width="12.5703125" style="247" customWidth="1"/>
    <col min="4624" max="4624" width="14.7109375" style="247" customWidth="1"/>
    <col min="4625" max="4625" width="14.85546875" style="247" customWidth="1"/>
    <col min="4626" max="4626" width="14.7109375" style="247" customWidth="1"/>
    <col min="4627" max="4627" width="17.5703125" style="247" customWidth="1"/>
    <col min="4628" max="4628" width="12.5703125" style="247" customWidth="1"/>
    <col min="4629" max="4630" width="13" style="247" customWidth="1"/>
    <col min="4631" max="4631" width="12.140625" style="247" customWidth="1"/>
    <col min="4632" max="4632" width="13.140625" style="247" customWidth="1"/>
    <col min="4633" max="4633" width="12.5703125" style="247" customWidth="1"/>
    <col min="4634" max="4635" width="12.7109375" style="247" customWidth="1"/>
    <col min="4636" max="4636" width="12.5703125" style="247" customWidth="1"/>
    <col min="4637" max="4637" width="11.7109375" style="247" customWidth="1"/>
    <col min="4638" max="4638" width="13.42578125" style="247" customWidth="1"/>
    <col min="4639" max="4639" width="11.7109375" style="247" customWidth="1"/>
    <col min="4640" max="4864" width="9.140625" style="247"/>
    <col min="4865" max="4865" width="5.5703125" style="247" customWidth="1"/>
    <col min="4866" max="4866" width="6.42578125" style="247" customWidth="1"/>
    <col min="4867" max="4867" width="13.28515625" style="247" customWidth="1"/>
    <col min="4868" max="4868" width="6" style="247" customWidth="1"/>
    <col min="4869" max="4869" width="13.7109375" style="247" customWidth="1"/>
    <col min="4870" max="4870" width="0" style="247" hidden="1" customWidth="1"/>
    <col min="4871" max="4871" width="14" style="247" customWidth="1"/>
    <col min="4872" max="4872" width="16.85546875" style="247" customWidth="1"/>
    <col min="4873" max="4873" width="13.85546875" style="247" customWidth="1"/>
    <col min="4874" max="4874" width="15.85546875" style="247" customWidth="1"/>
    <col min="4875" max="4875" width="15.28515625" style="247" customWidth="1"/>
    <col min="4876" max="4876" width="15.140625" style="247" customWidth="1"/>
    <col min="4877" max="4877" width="16.42578125" style="247" customWidth="1"/>
    <col min="4878" max="4878" width="14.28515625" style="247" customWidth="1"/>
    <col min="4879" max="4879" width="12.5703125" style="247" customWidth="1"/>
    <col min="4880" max="4880" width="14.7109375" style="247" customWidth="1"/>
    <col min="4881" max="4881" width="14.85546875" style="247" customWidth="1"/>
    <col min="4882" max="4882" width="14.7109375" style="247" customWidth="1"/>
    <col min="4883" max="4883" width="17.5703125" style="247" customWidth="1"/>
    <col min="4884" max="4884" width="12.5703125" style="247" customWidth="1"/>
    <col min="4885" max="4886" width="13" style="247" customWidth="1"/>
    <col min="4887" max="4887" width="12.140625" style="247" customWidth="1"/>
    <col min="4888" max="4888" width="13.140625" style="247" customWidth="1"/>
    <col min="4889" max="4889" width="12.5703125" style="247" customWidth="1"/>
    <col min="4890" max="4891" width="12.7109375" style="247" customWidth="1"/>
    <col min="4892" max="4892" width="12.5703125" style="247" customWidth="1"/>
    <col min="4893" max="4893" width="11.7109375" style="247" customWidth="1"/>
    <col min="4894" max="4894" width="13.42578125" style="247" customWidth="1"/>
    <col min="4895" max="4895" width="11.7109375" style="247" customWidth="1"/>
    <col min="4896" max="5120" width="9.140625" style="247"/>
    <col min="5121" max="5121" width="5.5703125" style="247" customWidth="1"/>
    <col min="5122" max="5122" width="6.42578125" style="247" customWidth="1"/>
    <col min="5123" max="5123" width="13.28515625" style="247" customWidth="1"/>
    <col min="5124" max="5124" width="6" style="247" customWidth="1"/>
    <col min="5125" max="5125" width="13.7109375" style="247" customWidth="1"/>
    <col min="5126" max="5126" width="0" style="247" hidden="1" customWidth="1"/>
    <col min="5127" max="5127" width="14" style="247" customWidth="1"/>
    <col min="5128" max="5128" width="16.85546875" style="247" customWidth="1"/>
    <col min="5129" max="5129" width="13.85546875" style="247" customWidth="1"/>
    <col min="5130" max="5130" width="15.85546875" style="247" customWidth="1"/>
    <col min="5131" max="5131" width="15.28515625" style="247" customWidth="1"/>
    <col min="5132" max="5132" width="15.140625" style="247" customWidth="1"/>
    <col min="5133" max="5133" width="16.42578125" style="247" customWidth="1"/>
    <col min="5134" max="5134" width="14.28515625" style="247" customWidth="1"/>
    <col min="5135" max="5135" width="12.5703125" style="247" customWidth="1"/>
    <col min="5136" max="5136" width="14.7109375" style="247" customWidth="1"/>
    <col min="5137" max="5137" width="14.85546875" style="247" customWidth="1"/>
    <col min="5138" max="5138" width="14.7109375" style="247" customWidth="1"/>
    <col min="5139" max="5139" width="17.5703125" style="247" customWidth="1"/>
    <col min="5140" max="5140" width="12.5703125" style="247" customWidth="1"/>
    <col min="5141" max="5142" width="13" style="247" customWidth="1"/>
    <col min="5143" max="5143" width="12.140625" style="247" customWidth="1"/>
    <col min="5144" max="5144" width="13.140625" style="247" customWidth="1"/>
    <col min="5145" max="5145" width="12.5703125" style="247" customWidth="1"/>
    <col min="5146" max="5147" width="12.7109375" style="247" customWidth="1"/>
    <col min="5148" max="5148" width="12.5703125" style="247" customWidth="1"/>
    <col min="5149" max="5149" width="11.7109375" style="247" customWidth="1"/>
    <col min="5150" max="5150" width="13.42578125" style="247" customWidth="1"/>
    <col min="5151" max="5151" width="11.7109375" style="247" customWidth="1"/>
    <col min="5152" max="5376" width="9.140625" style="247"/>
    <col min="5377" max="5377" width="5.5703125" style="247" customWidth="1"/>
    <col min="5378" max="5378" width="6.42578125" style="247" customWidth="1"/>
    <col min="5379" max="5379" width="13.28515625" style="247" customWidth="1"/>
    <col min="5380" max="5380" width="6" style="247" customWidth="1"/>
    <col min="5381" max="5381" width="13.7109375" style="247" customWidth="1"/>
    <col min="5382" max="5382" width="0" style="247" hidden="1" customWidth="1"/>
    <col min="5383" max="5383" width="14" style="247" customWidth="1"/>
    <col min="5384" max="5384" width="16.85546875" style="247" customWidth="1"/>
    <col min="5385" max="5385" width="13.85546875" style="247" customWidth="1"/>
    <col min="5386" max="5386" width="15.85546875" style="247" customWidth="1"/>
    <col min="5387" max="5387" width="15.28515625" style="247" customWidth="1"/>
    <col min="5388" max="5388" width="15.140625" style="247" customWidth="1"/>
    <col min="5389" max="5389" width="16.42578125" style="247" customWidth="1"/>
    <col min="5390" max="5390" width="14.28515625" style="247" customWidth="1"/>
    <col min="5391" max="5391" width="12.5703125" style="247" customWidth="1"/>
    <col min="5392" max="5392" width="14.7109375" style="247" customWidth="1"/>
    <col min="5393" max="5393" width="14.85546875" style="247" customWidth="1"/>
    <col min="5394" max="5394" width="14.7109375" style="247" customWidth="1"/>
    <col min="5395" max="5395" width="17.5703125" style="247" customWidth="1"/>
    <col min="5396" max="5396" width="12.5703125" style="247" customWidth="1"/>
    <col min="5397" max="5398" width="13" style="247" customWidth="1"/>
    <col min="5399" max="5399" width="12.140625" style="247" customWidth="1"/>
    <col min="5400" max="5400" width="13.140625" style="247" customWidth="1"/>
    <col min="5401" max="5401" width="12.5703125" style="247" customWidth="1"/>
    <col min="5402" max="5403" width="12.7109375" style="247" customWidth="1"/>
    <col min="5404" max="5404" width="12.5703125" style="247" customWidth="1"/>
    <col min="5405" max="5405" width="11.7109375" style="247" customWidth="1"/>
    <col min="5406" max="5406" width="13.42578125" style="247" customWidth="1"/>
    <col min="5407" max="5407" width="11.7109375" style="247" customWidth="1"/>
    <col min="5408" max="5632" width="9.140625" style="247"/>
    <col min="5633" max="5633" width="5.5703125" style="247" customWidth="1"/>
    <col min="5634" max="5634" width="6.42578125" style="247" customWidth="1"/>
    <col min="5635" max="5635" width="13.28515625" style="247" customWidth="1"/>
    <col min="5636" max="5636" width="6" style="247" customWidth="1"/>
    <col min="5637" max="5637" width="13.7109375" style="247" customWidth="1"/>
    <col min="5638" max="5638" width="0" style="247" hidden="1" customWidth="1"/>
    <col min="5639" max="5639" width="14" style="247" customWidth="1"/>
    <col min="5640" max="5640" width="16.85546875" style="247" customWidth="1"/>
    <col min="5641" max="5641" width="13.85546875" style="247" customWidth="1"/>
    <col min="5642" max="5642" width="15.85546875" style="247" customWidth="1"/>
    <col min="5643" max="5643" width="15.28515625" style="247" customWidth="1"/>
    <col min="5644" max="5644" width="15.140625" style="247" customWidth="1"/>
    <col min="5645" max="5645" width="16.42578125" style="247" customWidth="1"/>
    <col min="5646" max="5646" width="14.28515625" style="247" customWidth="1"/>
    <col min="5647" max="5647" width="12.5703125" style="247" customWidth="1"/>
    <col min="5648" max="5648" width="14.7109375" style="247" customWidth="1"/>
    <col min="5649" max="5649" width="14.85546875" style="247" customWidth="1"/>
    <col min="5650" max="5650" width="14.7109375" style="247" customWidth="1"/>
    <col min="5651" max="5651" width="17.5703125" style="247" customWidth="1"/>
    <col min="5652" max="5652" width="12.5703125" style="247" customWidth="1"/>
    <col min="5653" max="5654" width="13" style="247" customWidth="1"/>
    <col min="5655" max="5655" width="12.140625" style="247" customWidth="1"/>
    <col min="5656" max="5656" width="13.140625" style="247" customWidth="1"/>
    <col min="5657" max="5657" width="12.5703125" style="247" customWidth="1"/>
    <col min="5658" max="5659" width="12.7109375" style="247" customWidth="1"/>
    <col min="5660" max="5660" width="12.5703125" style="247" customWidth="1"/>
    <col min="5661" max="5661" width="11.7109375" style="247" customWidth="1"/>
    <col min="5662" max="5662" width="13.42578125" style="247" customWidth="1"/>
    <col min="5663" max="5663" width="11.7109375" style="247" customWidth="1"/>
    <col min="5664" max="5888" width="9.140625" style="247"/>
    <col min="5889" max="5889" width="5.5703125" style="247" customWidth="1"/>
    <col min="5890" max="5890" width="6.42578125" style="247" customWidth="1"/>
    <col min="5891" max="5891" width="13.28515625" style="247" customWidth="1"/>
    <col min="5892" max="5892" width="6" style="247" customWidth="1"/>
    <col min="5893" max="5893" width="13.7109375" style="247" customWidth="1"/>
    <col min="5894" max="5894" width="0" style="247" hidden="1" customWidth="1"/>
    <col min="5895" max="5895" width="14" style="247" customWidth="1"/>
    <col min="5896" max="5896" width="16.85546875" style="247" customWidth="1"/>
    <col min="5897" max="5897" width="13.85546875" style="247" customWidth="1"/>
    <col min="5898" max="5898" width="15.85546875" style="247" customWidth="1"/>
    <col min="5899" max="5899" width="15.28515625" style="247" customWidth="1"/>
    <col min="5900" max="5900" width="15.140625" style="247" customWidth="1"/>
    <col min="5901" max="5901" width="16.42578125" style="247" customWidth="1"/>
    <col min="5902" max="5902" width="14.28515625" style="247" customWidth="1"/>
    <col min="5903" max="5903" width="12.5703125" style="247" customWidth="1"/>
    <col min="5904" max="5904" width="14.7109375" style="247" customWidth="1"/>
    <col min="5905" max="5905" width="14.85546875" style="247" customWidth="1"/>
    <col min="5906" max="5906" width="14.7109375" style="247" customWidth="1"/>
    <col min="5907" max="5907" width="17.5703125" style="247" customWidth="1"/>
    <col min="5908" max="5908" width="12.5703125" style="247" customWidth="1"/>
    <col min="5909" max="5910" width="13" style="247" customWidth="1"/>
    <col min="5911" max="5911" width="12.140625" style="247" customWidth="1"/>
    <col min="5912" max="5912" width="13.140625" style="247" customWidth="1"/>
    <col min="5913" max="5913" width="12.5703125" style="247" customWidth="1"/>
    <col min="5914" max="5915" width="12.7109375" style="247" customWidth="1"/>
    <col min="5916" max="5916" width="12.5703125" style="247" customWidth="1"/>
    <col min="5917" max="5917" width="11.7109375" style="247" customWidth="1"/>
    <col min="5918" max="5918" width="13.42578125" style="247" customWidth="1"/>
    <col min="5919" max="5919" width="11.7109375" style="247" customWidth="1"/>
    <col min="5920" max="6144" width="9.140625" style="247"/>
    <col min="6145" max="6145" width="5.5703125" style="247" customWidth="1"/>
    <col min="6146" max="6146" width="6.42578125" style="247" customWidth="1"/>
    <col min="6147" max="6147" width="13.28515625" style="247" customWidth="1"/>
    <col min="6148" max="6148" width="6" style="247" customWidth="1"/>
    <col min="6149" max="6149" width="13.7109375" style="247" customWidth="1"/>
    <col min="6150" max="6150" width="0" style="247" hidden="1" customWidth="1"/>
    <col min="6151" max="6151" width="14" style="247" customWidth="1"/>
    <col min="6152" max="6152" width="16.85546875" style="247" customWidth="1"/>
    <col min="6153" max="6153" width="13.85546875" style="247" customWidth="1"/>
    <col min="6154" max="6154" width="15.85546875" style="247" customWidth="1"/>
    <col min="6155" max="6155" width="15.28515625" style="247" customWidth="1"/>
    <col min="6156" max="6156" width="15.140625" style="247" customWidth="1"/>
    <col min="6157" max="6157" width="16.42578125" style="247" customWidth="1"/>
    <col min="6158" max="6158" width="14.28515625" style="247" customWidth="1"/>
    <col min="6159" max="6159" width="12.5703125" style="247" customWidth="1"/>
    <col min="6160" max="6160" width="14.7109375" style="247" customWidth="1"/>
    <col min="6161" max="6161" width="14.85546875" style="247" customWidth="1"/>
    <col min="6162" max="6162" width="14.7109375" style="247" customWidth="1"/>
    <col min="6163" max="6163" width="17.5703125" style="247" customWidth="1"/>
    <col min="6164" max="6164" width="12.5703125" style="247" customWidth="1"/>
    <col min="6165" max="6166" width="13" style="247" customWidth="1"/>
    <col min="6167" max="6167" width="12.140625" style="247" customWidth="1"/>
    <col min="6168" max="6168" width="13.140625" style="247" customWidth="1"/>
    <col min="6169" max="6169" width="12.5703125" style="247" customWidth="1"/>
    <col min="6170" max="6171" width="12.7109375" style="247" customWidth="1"/>
    <col min="6172" max="6172" width="12.5703125" style="247" customWidth="1"/>
    <col min="6173" max="6173" width="11.7109375" style="247" customWidth="1"/>
    <col min="6174" max="6174" width="13.42578125" style="247" customWidth="1"/>
    <col min="6175" max="6175" width="11.7109375" style="247" customWidth="1"/>
    <col min="6176" max="6400" width="9.140625" style="247"/>
    <col min="6401" max="6401" width="5.5703125" style="247" customWidth="1"/>
    <col min="6402" max="6402" width="6.42578125" style="247" customWidth="1"/>
    <col min="6403" max="6403" width="13.28515625" style="247" customWidth="1"/>
    <col min="6404" max="6404" width="6" style="247" customWidth="1"/>
    <col min="6405" max="6405" width="13.7109375" style="247" customWidth="1"/>
    <col min="6406" max="6406" width="0" style="247" hidden="1" customWidth="1"/>
    <col min="6407" max="6407" width="14" style="247" customWidth="1"/>
    <col min="6408" max="6408" width="16.85546875" style="247" customWidth="1"/>
    <col min="6409" max="6409" width="13.85546875" style="247" customWidth="1"/>
    <col min="6410" max="6410" width="15.85546875" style="247" customWidth="1"/>
    <col min="6411" max="6411" width="15.28515625" style="247" customWidth="1"/>
    <col min="6412" max="6412" width="15.140625" style="247" customWidth="1"/>
    <col min="6413" max="6413" width="16.42578125" style="247" customWidth="1"/>
    <col min="6414" max="6414" width="14.28515625" style="247" customWidth="1"/>
    <col min="6415" max="6415" width="12.5703125" style="247" customWidth="1"/>
    <col min="6416" max="6416" width="14.7109375" style="247" customWidth="1"/>
    <col min="6417" max="6417" width="14.85546875" style="247" customWidth="1"/>
    <col min="6418" max="6418" width="14.7109375" style="247" customWidth="1"/>
    <col min="6419" max="6419" width="17.5703125" style="247" customWidth="1"/>
    <col min="6420" max="6420" width="12.5703125" style="247" customWidth="1"/>
    <col min="6421" max="6422" width="13" style="247" customWidth="1"/>
    <col min="6423" max="6423" width="12.140625" style="247" customWidth="1"/>
    <col min="6424" max="6424" width="13.140625" style="247" customWidth="1"/>
    <col min="6425" max="6425" width="12.5703125" style="247" customWidth="1"/>
    <col min="6426" max="6427" width="12.7109375" style="247" customWidth="1"/>
    <col min="6428" max="6428" width="12.5703125" style="247" customWidth="1"/>
    <col min="6429" max="6429" width="11.7109375" style="247" customWidth="1"/>
    <col min="6430" max="6430" width="13.42578125" style="247" customWidth="1"/>
    <col min="6431" max="6431" width="11.7109375" style="247" customWidth="1"/>
    <col min="6432" max="6656" width="9.140625" style="247"/>
    <col min="6657" max="6657" width="5.5703125" style="247" customWidth="1"/>
    <col min="6658" max="6658" width="6.42578125" style="247" customWidth="1"/>
    <col min="6659" max="6659" width="13.28515625" style="247" customWidth="1"/>
    <col min="6660" max="6660" width="6" style="247" customWidth="1"/>
    <col min="6661" max="6661" width="13.7109375" style="247" customWidth="1"/>
    <col min="6662" max="6662" width="0" style="247" hidden="1" customWidth="1"/>
    <col min="6663" max="6663" width="14" style="247" customWidth="1"/>
    <col min="6664" max="6664" width="16.85546875" style="247" customWidth="1"/>
    <col min="6665" max="6665" width="13.85546875" style="247" customWidth="1"/>
    <col min="6666" max="6666" width="15.85546875" style="247" customWidth="1"/>
    <col min="6667" max="6667" width="15.28515625" style="247" customWidth="1"/>
    <col min="6668" max="6668" width="15.140625" style="247" customWidth="1"/>
    <col min="6669" max="6669" width="16.42578125" style="247" customWidth="1"/>
    <col min="6670" max="6670" width="14.28515625" style="247" customWidth="1"/>
    <col min="6671" max="6671" width="12.5703125" style="247" customWidth="1"/>
    <col min="6672" max="6672" width="14.7109375" style="247" customWidth="1"/>
    <col min="6673" max="6673" width="14.85546875" style="247" customWidth="1"/>
    <col min="6674" max="6674" width="14.7109375" style="247" customWidth="1"/>
    <col min="6675" max="6675" width="17.5703125" style="247" customWidth="1"/>
    <col min="6676" max="6676" width="12.5703125" style="247" customWidth="1"/>
    <col min="6677" max="6678" width="13" style="247" customWidth="1"/>
    <col min="6679" max="6679" width="12.140625" style="247" customWidth="1"/>
    <col min="6680" max="6680" width="13.140625" style="247" customWidth="1"/>
    <col min="6681" max="6681" width="12.5703125" style="247" customWidth="1"/>
    <col min="6682" max="6683" width="12.7109375" style="247" customWidth="1"/>
    <col min="6684" max="6684" width="12.5703125" style="247" customWidth="1"/>
    <col min="6685" max="6685" width="11.7109375" style="247" customWidth="1"/>
    <col min="6686" max="6686" width="13.42578125" style="247" customWidth="1"/>
    <col min="6687" max="6687" width="11.7109375" style="247" customWidth="1"/>
    <col min="6688" max="6912" width="9.140625" style="247"/>
    <col min="6913" max="6913" width="5.5703125" style="247" customWidth="1"/>
    <col min="6914" max="6914" width="6.42578125" style="247" customWidth="1"/>
    <col min="6915" max="6915" width="13.28515625" style="247" customWidth="1"/>
    <col min="6916" max="6916" width="6" style="247" customWidth="1"/>
    <col min="6917" max="6917" width="13.7109375" style="247" customWidth="1"/>
    <col min="6918" max="6918" width="0" style="247" hidden="1" customWidth="1"/>
    <col min="6919" max="6919" width="14" style="247" customWidth="1"/>
    <col min="6920" max="6920" width="16.85546875" style="247" customWidth="1"/>
    <col min="6921" max="6921" width="13.85546875" style="247" customWidth="1"/>
    <col min="6922" max="6922" width="15.85546875" style="247" customWidth="1"/>
    <col min="6923" max="6923" width="15.28515625" style="247" customWidth="1"/>
    <col min="6924" max="6924" width="15.140625" style="247" customWidth="1"/>
    <col min="6925" max="6925" width="16.42578125" style="247" customWidth="1"/>
    <col min="6926" max="6926" width="14.28515625" style="247" customWidth="1"/>
    <col min="6927" max="6927" width="12.5703125" style="247" customWidth="1"/>
    <col min="6928" max="6928" width="14.7109375" style="247" customWidth="1"/>
    <col min="6929" max="6929" width="14.85546875" style="247" customWidth="1"/>
    <col min="6930" max="6930" width="14.7109375" style="247" customWidth="1"/>
    <col min="6931" max="6931" width="17.5703125" style="247" customWidth="1"/>
    <col min="6932" max="6932" width="12.5703125" style="247" customWidth="1"/>
    <col min="6933" max="6934" width="13" style="247" customWidth="1"/>
    <col min="6935" max="6935" width="12.140625" style="247" customWidth="1"/>
    <col min="6936" max="6936" width="13.140625" style="247" customWidth="1"/>
    <col min="6937" max="6937" width="12.5703125" style="247" customWidth="1"/>
    <col min="6938" max="6939" width="12.7109375" style="247" customWidth="1"/>
    <col min="6940" max="6940" width="12.5703125" style="247" customWidth="1"/>
    <col min="6941" max="6941" width="11.7109375" style="247" customWidth="1"/>
    <col min="6942" max="6942" width="13.42578125" style="247" customWidth="1"/>
    <col min="6943" max="6943" width="11.7109375" style="247" customWidth="1"/>
    <col min="6944" max="7168" width="9.140625" style="247"/>
    <col min="7169" max="7169" width="5.5703125" style="247" customWidth="1"/>
    <col min="7170" max="7170" width="6.42578125" style="247" customWidth="1"/>
    <col min="7171" max="7171" width="13.28515625" style="247" customWidth="1"/>
    <col min="7172" max="7172" width="6" style="247" customWidth="1"/>
    <col min="7173" max="7173" width="13.7109375" style="247" customWidth="1"/>
    <col min="7174" max="7174" width="0" style="247" hidden="1" customWidth="1"/>
    <col min="7175" max="7175" width="14" style="247" customWidth="1"/>
    <col min="7176" max="7176" width="16.85546875" style="247" customWidth="1"/>
    <col min="7177" max="7177" width="13.85546875" style="247" customWidth="1"/>
    <col min="7178" max="7178" width="15.85546875" style="247" customWidth="1"/>
    <col min="7179" max="7179" width="15.28515625" style="247" customWidth="1"/>
    <col min="7180" max="7180" width="15.140625" style="247" customWidth="1"/>
    <col min="7181" max="7181" width="16.42578125" style="247" customWidth="1"/>
    <col min="7182" max="7182" width="14.28515625" style="247" customWidth="1"/>
    <col min="7183" max="7183" width="12.5703125" style="247" customWidth="1"/>
    <col min="7184" max="7184" width="14.7109375" style="247" customWidth="1"/>
    <col min="7185" max="7185" width="14.85546875" style="247" customWidth="1"/>
    <col min="7186" max="7186" width="14.7109375" style="247" customWidth="1"/>
    <col min="7187" max="7187" width="17.5703125" style="247" customWidth="1"/>
    <col min="7188" max="7188" width="12.5703125" style="247" customWidth="1"/>
    <col min="7189" max="7190" width="13" style="247" customWidth="1"/>
    <col min="7191" max="7191" width="12.140625" style="247" customWidth="1"/>
    <col min="7192" max="7192" width="13.140625" style="247" customWidth="1"/>
    <col min="7193" max="7193" width="12.5703125" style="247" customWidth="1"/>
    <col min="7194" max="7195" width="12.7109375" style="247" customWidth="1"/>
    <col min="7196" max="7196" width="12.5703125" style="247" customWidth="1"/>
    <col min="7197" max="7197" width="11.7109375" style="247" customWidth="1"/>
    <col min="7198" max="7198" width="13.42578125" style="247" customWidth="1"/>
    <col min="7199" max="7199" width="11.7109375" style="247" customWidth="1"/>
    <col min="7200" max="7424" width="9.140625" style="247"/>
    <col min="7425" max="7425" width="5.5703125" style="247" customWidth="1"/>
    <col min="7426" max="7426" width="6.42578125" style="247" customWidth="1"/>
    <col min="7427" max="7427" width="13.28515625" style="247" customWidth="1"/>
    <col min="7428" max="7428" width="6" style="247" customWidth="1"/>
    <col min="7429" max="7429" width="13.7109375" style="247" customWidth="1"/>
    <col min="7430" max="7430" width="0" style="247" hidden="1" customWidth="1"/>
    <col min="7431" max="7431" width="14" style="247" customWidth="1"/>
    <col min="7432" max="7432" width="16.85546875" style="247" customWidth="1"/>
    <col min="7433" max="7433" width="13.85546875" style="247" customWidth="1"/>
    <col min="7434" max="7434" width="15.85546875" style="247" customWidth="1"/>
    <col min="7435" max="7435" width="15.28515625" style="247" customWidth="1"/>
    <col min="7436" max="7436" width="15.140625" style="247" customWidth="1"/>
    <col min="7437" max="7437" width="16.42578125" style="247" customWidth="1"/>
    <col min="7438" max="7438" width="14.28515625" style="247" customWidth="1"/>
    <col min="7439" max="7439" width="12.5703125" style="247" customWidth="1"/>
    <col min="7440" max="7440" width="14.7109375" style="247" customWidth="1"/>
    <col min="7441" max="7441" width="14.85546875" style="247" customWidth="1"/>
    <col min="7442" max="7442" width="14.7109375" style="247" customWidth="1"/>
    <col min="7443" max="7443" width="17.5703125" style="247" customWidth="1"/>
    <col min="7444" max="7444" width="12.5703125" style="247" customWidth="1"/>
    <col min="7445" max="7446" width="13" style="247" customWidth="1"/>
    <col min="7447" max="7447" width="12.140625" style="247" customWidth="1"/>
    <col min="7448" max="7448" width="13.140625" style="247" customWidth="1"/>
    <col min="7449" max="7449" width="12.5703125" style="247" customWidth="1"/>
    <col min="7450" max="7451" width="12.7109375" style="247" customWidth="1"/>
    <col min="7452" max="7452" width="12.5703125" style="247" customWidth="1"/>
    <col min="7453" max="7453" width="11.7109375" style="247" customWidth="1"/>
    <col min="7454" max="7454" width="13.42578125" style="247" customWidth="1"/>
    <col min="7455" max="7455" width="11.7109375" style="247" customWidth="1"/>
    <col min="7456" max="7680" width="9.140625" style="247"/>
    <col min="7681" max="7681" width="5.5703125" style="247" customWidth="1"/>
    <col min="7682" max="7682" width="6.42578125" style="247" customWidth="1"/>
    <col min="7683" max="7683" width="13.28515625" style="247" customWidth="1"/>
    <col min="7684" max="7684" width="6" style="247" customWidth="1"/>
    <col min="7685" max="7685" width="13.7109375" style="247" customWidth="1"/>
    <col min="7686" max="7686" width="0" style="247" hidden="1" customWidth="1"/>
    <col min="7687" max="7687" width="14" style="247" customWidth="1"/>
    <col min="7688" max="7688" width="16.85546875" style="247" customWidth="1"/>
    <col min="7689" max="7689" width="13.85546875" style="247" customWidth="1"/>
    <col min="7690" max="7690" width="15.85546875" style="247" customWidth="1"/>
    <col min="7691" max="7691" width="15.28515625" style="247" customWidth="1"/>
    <col min="7692" max="7692" width="15.140625" style="247" customWidth="1"/>
    <col min="7693" max="7693" width="16.42578125" style="247" customWidth="1"/>
    <col min="7694" max="7694" width="14.28515625" style="247" customWidth="1"/>
    <col min="7695" max="7695" width="12.5703125" style="247" customWidth="1"/>
    <col min="7696" max="7696" width="14.7109375" style="247" customWidth="1"/>
    <col min="7697" max="7697" width="14.85546875" style="247" customWidth="1"/>
    <col min="7698" max="7698" width="14.7109375" style="247" customWidth="1"/>
    <col min="7699" max="7699" width="17.5703125" style="247" customWidth="1"/>
    <col min="7700" max="7700" width="12.5703125" style="247" customWidth="1"/>
    <col min="7701" max="7702" width="13" style="247" customWidth="1"/>
    <col min="7703" max="7703" width="12.140625" style="247" customWidth="1"/>
    <col min="7704" max="7704" width="13.140625" style="247" customWidth="1"/>
    <col min="7705" max="7705" width="12.5703125" style="247" customWidth="1"/>
    <col min="7706" max="7707" width="12.7109375" style="247" customWidth="1"/>
    <col min="7708" max="7708" width="12.5703125" style="247" customWidth="1"/>
    <col min="7709" max="7709" width="11.7109375" style="247" customWidth="1"/>
    <col min="7710" max="7710" width="13.42578125" style="247" customWidth="1"/>
    <col min="7711" max="7711" width="11.7109375" style="247" customWidth="1"/>
    <col min="7712" max="7936" width="9.140625" style="247"/>
    <col min="7937" max="7937" width="5.5703125" style="247" customWidth="1"/>
    <col min="7938" max="7938" width="6.42578125" style="247" customWidth="1"/>
    <col min="7939" max="7939" width="13.28515625" style="247" customWidth="1"/>
    <col min="7940" max="7940" width="6" style="247" customWidth="1"/>
    <col min="7941" max="7941" width="13.7109375" style="247" customWidth="1"/>
    <col min="7942" max="7942" width="0" style="247" hidden="1" customWidth="1"/>
    <col min="7943" max="7943" width="14" style="247" customWidth="1"/>
    <col min="7944" max="7944" width="16.85546875" style="247" customWidth="1"/>
    <col min="7945" max="7945" width="13.85546875" style="247" customWidth="1"/>
    <col min="7946" max="7946" width="15.85546875" style="247" customWidth="1"/>
    <col min="7947" max="7947" width="15.28515625" style="247" customWidth="1"/>
    <col min="7948" max="7948" width="15.140625" style="247" customWidth="1"/>
    <col min="7949" max="7949" width="16.42578125" style="247" customWidth="1"/>
    <col min="7950" max="7950" width="14.28515625" style="247" customWidth="1"/>
    <col min="7951" max="7951" width="12.5703125" style="247" customWidth="1"/>
    <col min="7952" max="7952" width="14.7109375" style="247" customWidth="1"/>
    <col min="7953" max="7953" width="14.85546875" style="247" customWidth="1"/>
    <col min="7954" max="7954" width="14.7109375" style="247" customWidth="1"/>
    <col min="7955" max="7955" width="17.5703125" style="247" customWidth="1"/>
    <col min="7956" max="7956" width="12.5703125" style="247" customWidth="1"/>
    <col min="7957" max="7958" width="13" style="247" customWidth="1"/>
    <col min="7959" max="7959" width="12.140625" style="247" customWidth="1"/>
    <col min="7960" max="7960" width="13.140625" style="247" customWidth="1"/>
    <col min="7961" max="7961" width="12.5703125" style="247" customWidth="1"/>
    <col min="7962" max="7963" width="12.7109375" style="247" customWidth="1"/>
    <col min="7964" max="7964" width="12.5703125" style="247" customWidth="1"/>
    <col min="7965" max="7965" width="11.7109375" style="247" customWidth="1"/>
    <col min="7966" max="7966" width="13.42578125" style="247" customWidth="1"/>
    <col min="7967" max="7967" width="11.7109375" style="247" customWidth="1"/>
    <col min="7968" max="8192" width="9.140625" style="247"/>
    <col min="8193" max="8193" width="5.5703125" style="247" customWidth="1"/>
    <col min="8194" max="8194" width="6.42578125" style="247" customWidth="1"/>
    <col min="8195" max="8195" width="13.28515625" style="247" customWidth="1"/>
    <col min="8196" max="8196" width="6" style="247" customWidth="1"/>
    <col min="8197" max="8197" width="13.7109375" style="247" customWidth="1"/>
    <col min="8198" max="8198" width="0" style="247" hidden="1" customWidth="1"/>
    <col min="8199" max="8199" width="14" style="247" customWidth="1"/>
    <col min="8200" max="8200" width="16.85546875" style="247" customWidth="1"/>
    <col min="8201" max="8201" width="13.85546875" style="247" customWidth="1"/>
    <col min="8202" max="8202" width="15.85546875" style="247" customWidth="1"/>
    <col min="8203" max="8203" width="15.28515625" style="247" customWidth="1"/>
    <col min="8204" max="8204" width="15.140625" style="247" customWidth="1"/>
    <col min="8205" max="8205" width="16.42578125" style="247" customWidth="1"/>
    <col min="8206" max="8206" width="14.28515625" style="247" customWidth="1"/>
    <col min="8207" max="8207" width="12.5703125" style="247" customWidth="1"/>
    <col min="8208" max="8208" width="14.7109375" style="247" customWidth="1"/>
    <col min="8209" max="8209" width="14.85546875" style="247" customWidth="1"/>
    <col min="8210" max="8210" width="14.7109375" style="247" customWidth="1"/>
    <col min="8211" max="8211" width="17.5703125" style="247" customWidth="1"/>
    <col min="8212" max="8212" width="12.5703125" style="247" customWidth="1"/>
    <col min="8213" max="8214" width="13" style="247" customWidth="1"/>
    <col min="8215" max="8215" width="12.140625" style="247" customWidth="1"/>
    <col min="8216" max="8216" width="13.140625" style="247" customWidth="1"/>
    <col min="8217" max="8217" width="12.5703125" style="247" customWidth="1"/>
    <col min="8218" max="8219" width="12.7109375" style="247" customWidth="1"/>
    <col min="8220" max="8220" width="12.5703125" style="247" customWidth="1"/>
    <col min="8221" max="8221" width="11.7109375" style="247" customWidth="1"/>
    <col min="8222" max="8222" width="13.42578125" style="247" customWidth="1"/>
    <col min="8223" max="8223" width="11.7109375" style="247" customWidth="1"/>
    <col min="8224" max="8448" width="9.140625" style="247"/>
    <col min="8449" max="8449" width="5.5703125" style="247" customWidth="1"/>
    <col min="8450" max="8450" width="6.42578125" style="247" customWidth="1"/>
    <col min="8451" max="8451" width="13.28515625" style="247" customWidth="1"/>
    <col min="8452" max="8452" width="6" style="247" customWidth="1"/>
    <col min="8453" max="8453" width="13.7109375" style="247" customWidth="1"/>
    <col min="8454" max="8454" width="0" style="247" hidden="1" customWidth="1"/>
    <col min="8455" max="8455" width="14" style="247" customWidth="1"/>
    <col min="8456" max="8456" width="16.85546875" style="247" customWidth="1"/>
    <col min="8457" max="8457" width="13.85546875" style="247" customWidth="1"/>
    <col min="8458" max="8458" width="15.85546875" style="247" customWidth="1"/>
    <col min="8459" max="8459" width="15.28515625" style="247" customWidth="1"/>
    <col min="8460" max="8460" width="15.140625" style="247" customWidth="1"/>
    <col min="8461" max="8461" width="16.42578125" style="247" customWidth="1"/>
    <col min="8462" max="8462" width="14.28515625" style="247" customWidth="1"/>
    <col min="8463" max="8463" width="12.5703125" style="247" customWidth="1"/>
    <col min="8464" max="8464" width="14.7109375" style="247" customWidth="1"/>
    <col min="8465" max="8465" width="14.85546875" style="247" customWidth="1"/>
    <col min="8466" max="8466" width="14.7109375" style="247" customWidth="1"/>
    <col min="8467" max="8467" width="17.5703125" style="247" customWidth="1"/>
    <col min="8468" max="8468" width="12.5703125" style="247" customWidth="1"/>
    <col min="8469" max="8470" width="13" style="247" customWidth="1"/>
    <col min="8471" max="8471" width="12.140625" style="247" customWidth="1"/>
    <col min="8472" max="8472" width="13.140625" style="247" customWidth="1"/>
    <col min="8473" max="8473" width="12.5703125" style="247" customWidth="1"/>
    <col min="8474" max="8475" width="12.7109375" style="247" customWidth="1"/>
    <col min="8476" max="8476" width="12.5703125" style="247" customWidth="1"/>
    <col min="8477" max="8477" width="11.7109375" style="247" customWidth="1"/>
    <col min="8478" max="8478" width="13.42578125" style="247" customWidth="1"/>
    <col min="8479" max="8479" width="11.7109375" style="247" customWidth="1"/>
    <col min="8480" max="8704" width="9.140625" style="247"/>
    <col min="8705" max="8705" width="5.5703125" style="247" customWidth="1"/>
    <col min="8706" max="8706" width="6.42578125" style="247" customWidth="1"/>
    <col min="8707" max="8707" width="13.28515625" style="247" customWidth="1"/>
    <col min="8708" max="8708" width="6" style="247" customWidth="1"/>
    <col min="8709" max="8709" width="13.7109375" style="247" customWidth="1"/>
    <col min="8710" max="8710" width="0" style="247" hidden="1" customWidth="1"/>
    <col min="8711" max="8711" width="14" style="247" customWidth="1"/>
    <col min="8712" max="8712" width="16.85546875" style="247" customWidth="1"/>
    <col min="8713" max="8713" width="13.85546875" style="247" customWidth="1"/>
    <col min="8714" max="8714" width="15.85546875" style="247" customWidth="1"/>
    <col min="8715" max="8715" width="15.28515625" style="247" customWidth="1"/>
    <col min="8716" max="8716" width="15.140625" style="247" customWidth="1"/>
    <col min="8717" max="8717" width="16.42578125" style="247" customWidth="1"/>
    <col min="8718" max="8718" width="14.28515625" style="247" customWidth="1"/>
    <col min="8719" max="8719" width="12.5703125" style="247" customWidth="1"/>
    <col min="8720" max="8720" width="14.7109375" style="247" customWidth="1"/>
    <col min="8721" max="8721" width="14.85546875" style="247" customWidth="1"/>
    <col min="8722" max="8722" width="14.7109375" style="247" customWidth="1"/>
    <col min="8723" max="8723" width="17.5703125" style="247" customWidth="1"/>
    <col min="8724" max="8724" width="12.5703125" style="247" customWidth="1"/>
    <col min="8725" max="8726" width="13" style="247" customWidth="1"/>
    <col min="8727" max="8727" width="12.140625" style="247" customWidth="1"/>
    <col min="8728" max="8728" width="13.140625" style="247" customWidth="1"/>
    <col min="8729" max="8729" width="12.5703125" style="247" customWidth="1"/>
    <col min="8730" max="8731" width="12.7109375" style="247" customWidth="1"/>
    <col min="8732" max="8732" width="12.5703125" style="247" customWidth="1"/>
    <col min="8733" max="8733" width="11.7109375" style="247" customWidth="1"/>
    <col min="8734" max="8734" width="13.42578125" style="247" customWidth="1"/>
    <col min="8735" max="8735" width="11.7109375" style="247" customWidth="1"/>
    <col min="8736" max="8960" width="9.140625" style="247"/>
    <col min="8961" max="8961" width="5.5703125" style="247" customWidth="1"/>
    <col min="8962" max="8962" width="6.42578125" style="247" customWidth="1"/>
    <col min="8963" max="8963" width="13.28515625" style="247" customWidth="1"/>
    <col min="8964" max="8964" width="6" style="247" customWidth="1"/>
    <col min="8965" max="8965" width="13.7109375" style="247" customWidth="1"/>
    <col min="8966" max="8966" width="0" style="247" hidden="1" customWidth="1"/>
    <col min="8967" max="8967" width="14" style="247" customWidth="1"/>
    <col min="8968" max="8968" width="16.85546875" style="247" customWidth="1"/>
    <col min="8969" max="8969" width="13.85546875" style="247" customWidth="1"/>
    <col min="8970" max="8970" width="15.85546875" style="247" customWidth="1"/>
    <col min="8971" max="8971" width="15.28515625" style="247" customWidth="1"/>
    <col min="8972" max="8972" width="15.140625" style="247" customWidth="1"/>
    <col min="8973" max="8973" width="16.42578125" style="247" customWidth="1"/>
    <col min="8974" max="8974" width="14.28515625" style="247" customWidth="1"/>
    <col min="8975" max="8975" width="12.5703125" style="247" customWidth="1"/>
    <col min="8976" max="8976" width="14.7109375" style="247" customWidth="1"/>
    <col min="8977" max="8977" width="14.85546875" style="247" customWidth="1"/>
    <col min="8978" max="8978" width="14.7109375" style="247" customWidth="1"/>
    <col min="8979" max="8979" width="17.5703125" style="247" customWidth="1"/>
    <col min="8980" max="8980" width="12.5703125" style="247" customWidth="1"/>
    <col min="8981" max="8982" width="13" style="247" customWidth="1"/>
    <col min="8983" max="8983" width="12.140625" style="247" customWidth="1"/>
    <col min="8984" max="8984" width="13.140625" style="247" customWidth="1"/>
    <col min="8985" max="8985" width="12.5703125" style="247" customWidth="1"/>
    <col min="8986" max="8987" width="12.7109375" style="247" customWidth="1"/>
    <col min="8988" max="8988" width="12.5703125" style="247" customWidth="1"/>
    <col min="8989" max="8989" width="11.7109375" style="247" customWidth="1"/>
    <col min="8990" max="8990" width="13.42578125" style="247" customWidth="1"/>
    <col min="8991" max="8991" width="11.7109375" style="247" customWidth="1"/>
    <col min="8992" max="9216" width="9.140625" style="247"/>
    <col min="9217" max="9217" width="5.5703125" style="247" customWidth="1"/>
    <col min="9218" max="9218" width="6.42578125" style="247" customWidth="1"/>
    <col min="9219" max="9219" width="13.28515625" style="247" customWidth="1"/>
    <col min="9220" max="9220" width="6" style="247" customWidth="1"/>
    <col min="9221" max="9221" width="13.7109375" style="247" customWidth="1"/>
    <col min="9222" max="9222" width="0" style="247" hidden="1" customWidth="1"/>
    <col min="9223" max="9223" width="14" style="247" customWidth="1"/>
    <col min="9224" max="9224" width="16.85546875" style="247" customWidth="1"/>
    <col min="9225" max="9225" width="13.85546875" style="247" customWidth="1"/>
    <col min="9226" max="9226" width="15.85546875" style="247" customWidth="1"/>
    <col min="9227" max="9227" width="15.28515625" style="247" customWidth="1"/>
    <col min="9228" max="9228" width="15.140625" style="247" customWidth="1"/>
    <col min="9229" max="9229" width="16.42578125" style="247" customWidth="1"/>
    <col min="9230" max="9230" width="14.28515625" style="247" customWidth="1"/>
    <col min="9231" max="9231" width="12.5703125" style="247" customWidth="1"/>
    <col min="9232" max="9232" width="14.7109375" style="247" customWidth="1"/>
    <col min="9233" max="9233" width="14.85546875" style="247" customWidth="1"/>
    <col min="9234" max="9234" width="14.7109375" style="247" customWidth="1"/>
    <col min="9235" max="9235" width="17.5703125" style="247" customWidth="1"/>
    <col min="9236" max="9236" width="12.5703125" style="247" customWidth="1"/>
    <col min="9237" max="9238" width="13" style="247" customWidth="1"/>
    <col min="9239" max="9239" width="12.140625" style="247" customWidth="1"/>
    <col min="9240" max="9240" width="13.140625" style="247" customWidth="1"/>
    <col min="9241" max="9241" width="12.5703125" style="247" customWidth="1"/>
    <col min="9242" max="9243" width="12.7109375" style="247" customWidth="1"/>
    <col min="9244" max="9244" width="12.5703125" style="247" customWidth="1"/>
    <col min="9245" max="9245" width="11.7109375" style="247" customWidth="1"/>
    <col min="9246" max="9246" width="13.42578125" style="247" customWidth="1"/>
    <col min="9247" max="9247" width="11.7109375" style="247" customWidth="1"/>
    <col min="9248" max="9472" width="9.140625" style="247"/>
    <col min="9473" max="9473" width="5.5703125" style="247" customWidth="1"/>
    <col min="9474" max="9474" width="6.42578125" style="247" customWidth="1"/>
    <col min="9475" max="9475" width="13.28515625" style="247" customWidth="1"/>
    <col min="9476" max="9476" width="6" style="247" customWidth="1"/>
    <col min="9477" max="9477" width="13.7109375" style="247" customWidth="1"/>
    <col min="9478" max="9478" width="0" style="247" hidden="1" customWidth="1"/>
    <col min="9479" max="9479" width="14" style="247" customWidth="1"/>
    <col min="9480" max="9480" width="16.85546875" style="247" customWidth="1"/>
    <col min="9481" max="9481" width="13.85546875" style="247" customWidth="1"/>
    <col min="9482" max="9482" width="15.85546875" style="247" customWidth="1"/>
    <col min="9483" max="9483" width="15.28515625" style="247" customWidth="1"/>
    <col min="9484" max="9484" width="15.140625" style="247" customWidth="1"/>
    <col min="9485" max="9485" width="16.42578125" style="247" customWidth="1"/>
    <col min="9486" max="9486" width="14.28515625" style="247" customWidth="1"/>
    <col min="9487" max="9487" width="12.5703125" style="247" customWidth="1"/>
    <col min="9488" max="9488" width="14.7109375" style="247" customWidth="1"/>
    <col min="9489" max="9489" width="14.85546875" style="247" customWidth="1"/>
    <col min="9490" max="9490" width="14.7109375" style="247" customWidth="1"/>
    <col min="9491" max="9491" width="17.5703125" style="247" customWidth="1"/>
    <col min="9492" max="9492" width="12.5703125" style="247" customWidth="1"/>
    <col min="9493" max="9494" width="13" style="247" customWidth="1"/>
    <col min="9495" max="9495" width="12.140625" style="247" customWidth="1"/>
    <col min="9496" max="9496" width="13.140625" style="247" customWidth="1"/>
    <col min="9497" max="9497" width="12.5703125" style="247" customWidth="1"/>
    <col min="9498" max="9499" width="12.7109375" style="247" customWidth="1"/>
    <col min="9500" max="9500" width="12.5703125" style="247" customWidth="1"/>
    <col min="9501" max="9501" width="11.7109375" style="247" customWidth="1"/>
    <col min="9502" max="9502" width="13.42578125" style="247" customWidth="1"/>
    <col min="9503" max="9503" width="11.7109375" style="247" customWidth="1"/>
    <col min="9504" max="9728" width="9.140625" style="247"/>
    <col min="9729" max="9729" width="5.5703125" style="247" customWidth="1"/>
    <col min="9730" max="9730" width="6.42578125" style="247" customWidth="1"/>
    <col min="9731" max="9731" width="13.28515625" style="247" customWidth="1"/>
    <col min="9732" max="9732" width="6" style="247" customWidth="1"/>
    <col min="9733" max="9733" width="13.7109375" style="247" customWidth="1"/>
    <col min="9734" max="9734" width="0" style="247" hidden="1" customWidth="1"/>
    <col min="9735" max="9735" width="14" style="247" customWidth="1"/>
    <col min="9736" max="9736" width="16.85546875" style="247" customWidth="1"/>
    <col min="9737" max="9737" width="13.85546875" style="247" customWidth="1"/>
    <col min="9738" max="9738" width="15.85546875" style="247" customWidth="1"/>
    <col min="9739" max="9739" width="15.28515625" style="247" customWidth="1"/>
    <col min="9740" max="9740" width="15.140625" style="247" customWidth="1"/>
    <col min="9741" max="9741" width="16.42578125" style="247" customWidth="1"/>
    <col min="9742" max="9742" width="14.28515625" style="247" customWidth="1"/>
    <col min="9743" max="9743" width="12.5703125" style="247" customWidth="1"/>
    <col min="9744" max="9744" width="14.7109375" style="247" customWidth="1"/>
    <col min="9745" max="9745" width="14.85546875" style="247" customWidth="1"/>
    <col min="9746" max="9746" width="14.7109375" style="247" customWidth="1"/>
    <col min="9747" max="9747" width="17.5703125" style="247" customWidth="1"/>
    <col min="9748" max="9748" width="12.5703125" style="247" customWidth="1"/>
    <col min="9749" max="9750" width="13" style="247" customWidth="1"/>
    <col min="9751" max="9751" width="12.140625" style="247" customWidth="1"/>
    <col min="9752" max="9752" width="13.140625" style="247" customWidth="1"/>
    <col min="9753" max="9753" width="12.5703125" style="247" customWidth="1"/>
    <col min="9754" max="9755" width="12.7109375" style="247" customWidth="1"/>
    <col min="9756" max="9756" width="12.5703125" style="247" customWidth="1"/>
    <col min="9757" max="9757" width="11.7109375" style="247" customWidth="1"/>
    <col min="9758" max="9758" width="13.42578125" style="247" customWidth="1"/>
    <col min="9759" max="9759" width="11.7109375" style="247" customWidth="1"/>
    <col min="9760" max="9984" width="9.140625" style="247"/>
    <col min="9985" max="9985" width="5.5703125" style="247" customWidth="1"/>
    <col min="9986" max="9986" width="6.42578125" style="247" customWidth="1"/>
    <col min="9987" max="9987" width="13.28515625" style="247" customWidth="1"/>
    <col min="9988" max="9988" width="6" style="247" customWidth="1"/>
    <col min="9989" max="9989" width="13.7109375" style="247" customWidth="1"/>
    <col min="9990" max="9990" width="0" style="247" hidden="1" customWidth="1"/>
    <col min="9991" max="9991" width="14" style="247" customWidth="1"/>
    <col min="9992" max="9992" width="16.85546875" style="247" customWidth="1"/>
    <col min="9993" max="9993" width="13.85546875" style="247" customWidth="1"/>
    <col min="9994" max="9994" width="15.85546875" style="247" customWidth="1"/>
    <col min="9995" max="9995" width="15.28515625" style="247" customWidth="1"/>
    <col min="9996" max="9996" width="15.140625" style="247" customWidth="1"/>
    <col min="9997" max="9997" width="16.42578125" style="247" customWidth="1"/>
    <col min="9998" max="9998" width="14.28515625" style="247" customWidth="1"/>
    <col min="9999" max="9999" width="12.5703125" style="247" customWidth="1"/>
    <col min="10000" max="10000" width="14.7109375" style="247" customWidth="1"/>
    <col min="10001" max="10001" width="14.85546875" style="247" customWidth="1"/>
    <col min="10002" max="10002" width="14.7109375" style="247" customWidth="1"/>
    <col min="10003" max="10003" width="17.5703125" style="247" customWidth="1"/>
    <col min="10004" max="10004" width="12.5703125" style="247" customWidth="1"/>
    <col min="10005" max="10006" width="13" style="247" customWidth="1"/>
    <col min="10007" max="10007" width="12.140625" style="247" customWidth="1"/>
    <col min="10008" max="10008" width="13.140625" style="247" customWidth="1"/>
    <col min="10009" max="10009" width="12.5703125" style="247" customWidth="1"/>
    <col min="10010" max="10011" width="12.7109375" style="247" customWidth="1"/>
    <col min="10012" max="10012" width="12.5703125" style="247" customWidth="1"/>
    <col min="10013" max="10013" width="11.7109375" style="247" customWidth="1"/>
    <col min="10014" max="10014" width="13.42578125" style="247" customWidth="1"/>
    <col min="10015" max="10015" width="11.7109375" style="247" customWidth="1"/>
    <col min="10016" max="10240" width="9.140625" style="247"/>
    <col min="10241" max="10241" width="5.5703125" style="247" customWidth="1"/>
    <col min="10242" max="10242" width="6.42578125" style="247" customWidth="1"/>
    <col min="10243" max="10243" width="13.28515625" style="247" customWidth="1"/>
    <col min="10244" max="10244" width="6" style="247" customWidth="1"/>
    <col min="10245" max="10245" width="13.7109375" style="247" customWidth="1"/>
    <col min="10246" max="10246" width="0" style="247" hidden="1" customWidth="1"/>
    <col min="10247" max="10247" width="14" style="247" customWidth="1"/>
    <col min="10248" max="10248" width="16.85546875" style="247" customWidth="1"/>
    <col min="10249" max="10249" width="13.85546875" style="247" customWidth="1"/>
    <col min="10250" max="10250" width="15.85546875" style="247" customWidth="1"/>
    <col min="10251" max="10251" width="15.28515625" style="247" customWidth="1"/>
    <col min="10252" max="10252" width="15.140625" style="247" customWidth="1"/>
    <col min="10253" max="10253" width="16.42578125" style="247" customWidth="1"/>
    <col min="10254" max="10254" width="14.28515625" style="247" customWidth="1"/>
    <col min="10255" max="10255" width="12.5703125" style="247" customWidth="1"/>
    <col min="10256" max="10256" width="14.7109375" style="247" customWidth="1"/>
    <col min="10257" max="10257" width="14.85546875" style="247" customWidth="1"/>
    <col min="10258" max="10258" width="14.7109375" style="247" customWidth="1"/>
    <col min="10259" max="10259" width="17.5703125" style="247" customWidth="1"/>
    <col min="10260" max="10260" width="12.5703125" style="247" customWidth="1"/>
    <col min="10261" max="10262" width="13" style="247" customWidth="1"/>
    <col min="10263" max="10263" width="12.140625" style="247" customWidth="1"/>
    <col min="10264" max="10264" width="13.140625" style="247" customWidth="1"/>
    <col min="10265" max="10265" width="12.5703125" style="247" customWidth="1"/>
    <col min="10266" max="10267" width="12.7109375" style="247" customWidth="1"/>
    <col min="10268" max="10268" width="12.5703125" style="247" customWidth="1"/>
    <col min="10269" max="10269" width="11.7109375" style="247" customWidth="1"/>
    <col min="10270" max="10270" width="13.42578125" style="247" customWidth="1"/>
    <col min="10271" max="10271" width="11.7109375" style="247" customWidth="1"/>
    <col min="10272" max="10496" width="9.140625" style="247"/>
    <col min="10497" max="10497" width="5.5703125" style="247" customWidth="1"/>
    <col min="10498" max="10498" width="6.42578125" style="247" customWidth="1"/>
    <col min="10499" max="10499" width="13.28515625" style="247" customWidth="1"/>
    <col min="10500" max="10500" width="6" style="247" customWidth="1"/>
    <col min="10501" max="10501" width="13.7109375" style="247" customWidth="1"/>
    <col min="10502" max="10502" width="0" style="247" hidden="1" customWidth="1"/>
    <col min="10503" max="10503" width="14" style="247" customWidth="1"/>
    <col min="10504" max="10504" width="16.85546875" style="247" customWidth="1"/>
    <col min="10505" max="10505" width="13.85546875" style="247" customWidth="1"/>
    <col min="10506" max="10506" width="15.85546875" style="247" customWidth="1"/>
    <col min="10507" max="10507" width="15.28515625" style="247" customWidth="1"/>
    <col min="10508" max="10508" width="15.140625" style="247" customWidth="1"/>
    <col min="10509" max="10509" width="16.42578125" style="247" customWidth="1"/>
    <col min="10510" max="10510" width="14.28515625" style="247" customWidth="1"/>
    <col min="10511" max="10511" width="12.5703125" style="247" customWidth="1"/>
    <col min="10512" max="10512" width="14.7109375" style="247" customWidth="1"/>
    <col min="10513" max="10513" width="14.85546875" style="247" customWidth="1"/>
    <col min="10514" max="10514" width="14.7109375" style="247" customWidth="1"/>
    <col min="10515" max="10515" width="17.5703125" style="247" customWidth="1"/>
    <col min="10516" max="10516" width="12.5703125" style="247" customWidth="1"/>
    <col min="10517" max="10518" width="13" style="247" customWidth="1"/>
    <col min="10519" max="10519" width="12.140625" style="247" customWidth="1"/>
    <col min="10520" max="10520" width="13.140625" style="247" customWidth="1"/>
    <col min="10521" max="10521" width="12.5703125" style="247" customWidth="1"/>
    <col min="10522" max="10523" width="12.7109375" style="247" customWidth="1"/>
    <col min="10524" max="10524" width="12.5703125" style="247" customWidth="1"/>
    <col min="10525" max="10525" width="11.7109375" style="247" customWidth="1"/>
    <col min="10526" max="10526" width="13.42578125" style="247" customWidth="1"/>
    <col min="10527" max="10527" width="11.7109375" style="247" customWidth="1"/>
    <col min="10528" max="10752" width="9.140625" style="247"/>
    <col min="10753" max="10753" width="5.5703125" style="247" customWidth="1"/>
    <col min="10754" max="10754" width="6.42578125" style="247" customWidth="1"/>
    <col min="10755" max="10755" width="13.28515625" style="247" customWidth="1"/>
    <col min="10756" max="10756" width="6" style="247" customWidth="1"/>
    <col min="10757" max="10757" width="13.7109375" style="247" customWidth="1"/>
    <col min="10758" max="10758" width="0" style="247" hidden="1" customWidth="1"/>
    <col min="10759" max="10759" width="14" style="247" customWidth="1"/>
    <col min="10760" max="10760" width="16.85546875" style="247" customWidth="1"/>
    <col min="10761" max="10761" width="13.85546875" style="247" customWidth="1"/>
    <col min="10762" max="10762" width="15.85546875" style="247" customWidth="1"/>
    <col min="10763" max="10763" width="15.28515625" style="247" customWidth="1"/>
    <col min="10764" max="10764" width="15.140625" style="247" customWidth="1"/>
    <col min="10765" max="10765" width="16.42578125" style="247" customWidth="1"/>
    <col min="10766" max="10766" width="14.28515625" style="247" customWidth="1"/>
    <col min="10767" max="10767" width="12.5703125" style="247" customWidth="1"/>
    <col min="10768" max="10768" width="14.7109375" style="247" customWidth="1"/>
    <col min="10769" max="10769" width="14.85546875" style="247" customWidth="1"/>
    <col min="10770" max="10770" width="14.7109375" style="247" customWidth="1"/>
    <col min="10771" max="10771" width="17.5703125" style="247" customWidth="1"/>
    <col min="10772" max="10772" width="12.5703125" style="247" customWidth="1"/>
    <col min="10773" max="10774" width="13" style="247" customWidth="1"/>
    <col min="10775" max="10775" width="12.140625" style="247" customWidth="1"/>
    <col min="10776" max="10776" width="13.140625" style="247" customWidth="1"/>
    <col min="10777" max="10777" width="12.5703125" style="247" customWidth="1"/>
    <col min="10778" max="10779" width="12.7109375" style="247" customWidth="1"/>
    <col min="10780" max="10780" width="12.5703125" style="247" customWidth="1"/>
    <col min="10781" max="10781" width="11.7109375" style="247" customWidth="1"/>
    <col min="10782" max="10782" width="13.42578125" style="247" customWidth="1"/>
    <col min="10783" max="10783" width="11.7109375" style="247" customWidth="1"/>
    <col min="10784" max="11008" width="9.140625" style="247"/>
    <col min="11009" max="11009" width="5.5703125" style="247" customWidth="1"/>
    <col min="11010" max="11010" width="6.42578125" style="247" customWidth="1"/>
    <col min="11011" max="11011" width="13.28515625" style="247" customWidth="1"/>
    <col min="11012" max="11012" width="6" style="247" customWidth="1"/>
    <col min="11013" max="11013" width="13.7109375" style="247" customWidth="1"/>
    <col min="11014" max="11014" width="0" style="247" hidden="1" customWidth="1"/>
    <col min="11015" max="11015" width="14" style="247" customWidth="1"/>
    <col min="11016" max="11016" width="16.85546875" style="247" customWidth="1"/>
    <col min="11017" max="11017" width="13.85546875" style="247" customWidth="1"/>
    <col min="11018" max="11018" width="15.85546875" style="247" customWidth="1"/>
    <col min="11019" max="11019" width="15.28515625" style="247" customWidth="1"/>
    <col min="11020" max="11020" width="15.140625" style="247" customWidth="1"/>
    <col min="11021" max="11021" width="16.42578125" style="247" customWidth="1"/>
    <col min="11022" max="11022" width="14.28515625" style="247" customWidth="1"/>
    <col min="11023" max="11023" width="12.5703125" style="247" customWidth="1"/>
    <col min="11024" max="11024" width="14.7109375" style="247" customWidth="1"/>
    <col min="11025" max="11025" width="14.85546875" style="247" customWidth="1"/>
    <col min="11026" max="11026" width="14.7109375" style="247" customWidth="1"/>
    <col min="11027" max="11027" width="17.5703125" style="247" customWidth="1"/>
    <col min="11028" max="11028" width="12.5703125" style="247" customWidth="1"/>
    <col min="11029" max="11030" width="13" style="247" customWidth="1"/>
    <col min="11031" max="11031" width="12.140625" style="247" customWidth="1"/>
    <col min="11032" max="11032" width="13.140625" style="247" customWidth="1"/>
    <col min="11033" max="11033" width="12.5703125" style="247" customWidth="1"/>
    <col min="11034" max="11035" width="12.7109375" style="247" customWidth="1"/>
    <col min="11036" max="11036" width="12.5703125" style="247" customWidth="1"/>
    <col min="11037" max="11037" width="11.7109375" style="247" customWidth="1"/>
    <col min="11038" max="11038" width="13.42578125" style="247" customWidth="1"/>
    <col min="11039" max="11039" width="11.7109375" style="247" customWidth="1"/>
    <col min="11040" max="11264" width="9.140625" style="247"/>
    <col min="11265" max="11265" width="5.5703125" style="247" customWidth="1"/>
    <col min="11266" max="11266" width="6.42578125" style="247" customWidth="1"/>
    <col min="11267" max="11267" width="13.28515625" style="247" customWidth="1"/>
    <col min="11268" max="11268" width="6" style="247" customWidth="1"/>
    <col min="11269" max="11269" width="13.7109375" style="247" customWidth="1"/>
    <col min="11270" max="11270" width="0" style="247" hidden="1" customWidth="1"/>
    <col min="11271" max="11271" width="14" style="247" customWidth="1"/>
    <col min="11272" max="11272" width="16.85546875" style="247" customWidth="1"/>
    <col min="11273" max="11273" width="13.85546875" style="247" customWidth="1"/>
    <col min="11274" max="11274" width="15.85546875" style="247" customWidth="1"/>
    <col min="11275" max="11275" width="15.28515625" style="247" customWidth="1"/>
    <col min="11276" max="11276" width="15.140625" style="247" customWidth="1"/>
    <col min="11277" max="11277" width="16.42578125" style="247" customWidth="1"/>
    <col min="11278" max="11278" width="14.28515625" style="247" customWidth="1"/>
    <col min="11279" max="11279" width="12.5703125" style="247" customWidth="1"/>
    <col min="11280" max="11280" width="14.7109375" style="247" customWidth="1"/>
    <col min="11281" max="11281" width="14.85546875" style="247" customWidth="1"/>
    <col min="11282" max="11282" width="14.7109375" style="247" customWidth="1"/>
    <col min="11283" max="11283" width="17.5703125" style="247" customWidth="1"/>
    <col min="11284" max="11284" width="12.5703125" style="247" customWidth="1"/>
    <col min="11285" max="11286" width="13" style="247" customWidth="1"/>
    <col min="11287" max="11287" width="12.140625" style="247" customWidth="1"/>
    <col min="11288" max="11288" width="13.140625" style="247" customWidth="1"/>
    <col min="11289" max="11289" width="12.5703125" style="247" customWidth="1"/>
    <col min="11290" max="11291" width="12.7109375" style="247" customWidth="1"/>
    <col min="11292" max="11292" width="12.5703125" style="247" customWidth="1"/>
    <col min="11293" max="11293" width="11.7109375" style="247" customWidth="1"/>
    <col min="11294" max="11294" width="13.42578125" style="247" customWidth="1"/>
    <col min="11295" max="11295" width="11.7109375" style="247" customWidth="1"/>
    <col min="11296" max="11520" width="9.140625" style="247"/>
    <col min="11521" max="11521" width="5.5703125" style="247" customWidth="1"/>
    <col min="11522" max="11522" width="6.42578125" style="247" customWidth="1"/>
    <col min="11523" max="11523" width="13.28515625" style="247" customWidth="1"/>
    <col min="11524" max="11524" width="6" style="247" customWidth="1"/>
    <col min="11525" max="11525" width="13.7109375" style="247" customWidth="1"/>
    <col min="11526" max="11526" width="0" style="247" hidden="1" customWidth="1"/>
    <col min="11527" max="11527" width="14" style="247" customWidth="1"/>
    <col min="11528" max="11528" width="16.85546875" style="247" customWidth="1"/>
    <col min="11529" max="11529" width="13.85546875" style="247" customWidth="1"/>
    <col min="11530" max="11530" width="15.85546875" style="247" customWidth="1"/>
    <col min="11531" max="11531" width="15.28515625" style="247" customWidth="1"/>
    <col min="11532" max="11532" width="15.140625" style="247" customWidth="1"/>
    <col min="11533" max="11533" width="16.42578125" style="247" customWidth="1"/>
    <col min="11534" max="11534" width="14.28515625" style="247" customWidth="1"/>
    <col min="11535" max="11535" width="12.5703125" style="247" customWidth="1"/>
    <col min="11536" max="11536" width="14.7109375" style="247" customWidth="1"/>
    <col min="11537" max="11537" width="14.85546875" style="247" customWidth="1"/>
    <col min="11538" max="11538" width="14.7109375" style="247" customWidth="1"/>
    <col min="11539" max="11539" width="17.5703125" style="247" customWidth="1"/>
    <col min="11540" max="11540" width="12.5703125" style="247" customWidth="1"/>
    <col min="11541" max="11542" width="13" style="247" customWidth="1"/>
    <col min="11543" max="11543" width="12.140625" style="247" customWidth="1"/>
    <col min="11544" max="11544" width="13.140625" style="247" customWidth="1"/>
    <col min="11545" max="11545" width="12.5703125" style="247" customWidth="1"/>
    <col min="11546" max="11547" width="12.7109375" style="247" customWidth="1"/>
    <col min="11548" max="11548" width="12.5703125" style="247" customWidth="1"/>
    <col min="11549" max="11549" width="11.7109375" style="247" customWidth="1"/>
    <col min="11550" max="11550" width="13.42578125" style="247" customWidth="1"/>
    <col min="11551" max="11551" width="11.7109375" style="247" customWidth="1"/>
    <col min="11552" max="11776" width="9.140625" style="247"/>
    <col min="11777" max="11777" width="5.5703125" style="247" customWidth="1"/>
    <col min="11778" max="11778" width="6.42578125" style="247" customWidth="1"/>
    <col min="11779" max="11779" width="13.28515625" style="247" customWidth="1"/>
    <col min="11780" max="11780" width="6" style="247" customWidth="1"/>
    <col min="11781" max="11781" width="13.7109375" style="247" customWidth="1"/>
    <col min="11782" max="11782" width="0" style="247" hidden="1" customWidth="1"/>
    <col min="11783" max="11783" width="14" style="247" customWidth="1"/>
    <col min="11784" max="11784" width="16.85546875" style="247" customWidth="1"/>
    <col min="11785" max="11785" width="13.85546875" style="247" customWidth="1"/>
    <col min="11786" max="11786" width="15.85546875" style="247" customWidth="1"/>
    <col min="11787" max="11787" width="15.28515625" style="247" customWidth="1"/>
    <col min="11788" max="11788" width="15.140625" style="247" customWidth="1"/>
    <col min="11789" max="11789" width="16.42578125" style="247" customWidth="1"/>
    <col min="11790" max="11790" width="14.28515625" style="247" customWidth="1"/>
    <col min="11791" max="11791" width="12.5703125" style="247" customWidth="1"/>
    <col min="11792" max="11792" width="14.7109375" style="247" customWidth="1"/>
    <col min="11793" max="11793" width="14.85546875" style="247" customWidth="1"/>
    <col min="11794" max="11794" width="14.7109375" style="247" customWidth="1"/>
    <col min="11795" max="11795" width="17.5703125" style="247" customWidth="1"/>
    <col min="11796" max="11796" width="12.5703125" style="247" customWidth="1"/>
    <col min="11797" max="11798" width="13" style="247" customWidth="1"/>
    <col min="11799" max="11799" width="12.140625" style="247" customWidth="1"/>
    <col min="11800" max="11800" width="13.140625" style="247" customWidth="1"/>
    <col min="11801" max="11801" width="12.5703125" style="247" customWidth="1"/>
    <col min="11802" max="11803" width="12.7109375" style="247" customWidth="1"/>
    <col min="11804" max="11804" width="12.5703125" style="247" customWidth="1"/>
    <col min="11805" max="11805" width="11.7109375" style="247" customWidth="1"/>
    <col min="11806" max="11806" width="13.42578125" style="247" customWidth="1"/>
    <col min="11807" max="11807" width="11.7109375" style="247" customWidth="1"/>
    <col min="11808" max="12032" width="9.140625" style="247"/>
    <col min="12033" max="12033" width="5.5703125" style="247" customWidth="1"/>
    <col min="12034" max="12034" width="6.42578125" style="247" customWidth="1"/>
    <col min="12035" max="12035" width="13.28515625" style="247" customWidth="1"/>
    <col min="12036" max="12036" width="6" style="247" customWidth="1"/>
    <col min="12037" max="12037" width="13.7109375" style="247" customWidth="1"/>
    <col min="12038" max="12038" width="0" style="247" hidden="1" customWidth="1"/>
    <col min="12039" max="12039" width="14" style="247" customWidth="1"/>
    <col min="12040" max="12040" width="16.85546875" style="247" customWidth="1"/>
    <col min="12041" max="12041" width="13.85546875" style="247" customWidth="1"/>
    <col min="12042" max="12042" width="15.85546875" style="247" customWidth="1"/>
    <col min="12043" max="12043" width="15.28515625" style="247" customWidth="1"/>
    <col min="12044" max="12044" width="15.140625" style="247" customWidth="1"/>
    <col min="12045" max="12045" width="16.42578125" style="247" customWidth="1"/>
    <col min="12046" max="12046" width="14.28515625" style="247" customWidth="1"/>
    <col min="12047" max="12047" width="12.5703125" style="247" customWidth="1"/>
    <col min="12048" max="12048" width="14.7109375" style="247" customWidth="1"/>
    <col min="12049" max="12049" width="14.85546875" style="247" customWidth="1"/>
    <col min="12050" max="12050" width="14.7109375" style="247" customWidth="1"/>
    <col min="12051" max="12051" width="17.5703125" style="247" customWidth="1"/>
    <col min="12052" max="12052" width="12.5703125" style="247" customWidth="1"/>
    <col min="12053" max="12054" width="13" style="247" customWidth="1"/>
    <col min="12055" max="12055" width="12.140625" style="247" customWidth="1"/>
    <col min="12056" max="12056" width="13.140625" style="247" customWidth="1"/>
    <col min="12057" max="12057" width="12.5703125" style="247" customWidth="1"/>
    <col min="12058" max="12059" width="12.7109375" style="247" customWidth="1"/>
    <col min="12060" max="12060" width="12.5703125" style="247" customWidth="1"/>
    <col min="12061" max="12061" width="11.7109375" style="247" customWidth="1"/>
    <col min="12062" max="12062" width="13.42578125" style="247" customWidth="1"/>
    <col min="12063" max="12063" width="11.7109375" style="247" customWidth="1"/>
    <col min="12064" max="12288" width="9.140625" style="247"/>
    <col min="12289" max="12289" width="5.5703125" style="247" customWidth="1"/>
    <col min="12290" max="12290" width="6.42578125" style="247" customWidth="1"/>
    <col min="12291" max="12291" width="13.28515625" style="247" customWidth="1"/>
    <col min="12292" max="12292" width="6" style="247" customWidth="1"/>
    <col min="12293" max="12293" width="13.7109375" style="247" customWidth="1"/>
    <col min="12294" max="12294" width="0" style="247" hidden="1" customWidth="1"/>
    <col min="12295" max="12295" width="14" style="247" customWidth="1"/>
    <col min="12296" max="12296" width="16.85546875" style="247" customWidth="1"/>
    <col min="12297" max="12297" width="13.85546875" style="247" customWidth="1"/>
    <col min="12298" max="12298" width="15.85546875" style="247" customWidth="1"/>
    <col min="12299" max="12299" width="15.28515625" style="247" customWidth="1"/>
    <col min="12300" max="12300" width="15.140625" style="247" customWidth="1"/>
    <col min="12301" max="12301" width="16.42578125" style="247" customWidth="1"/>
    <col min="12302" max="12302" width="14.28515625" style="247" customWidth="1"/>
    <col min="12303" max="12303" width="12.5703125" style="247" customWidth="1"/>
    <col min="12304" max="12304" width="14.7109375" style="247" customWidth="1"/>
    <col min="12305" max="12305" width="14.85546875" style="247" customWidth="1"/>
    <col min="12306" max="12306" width="14.7109375" style="247" customWidth="1"/>
    <col min="12307" max="12307" width="17.5703125" style="247" customWidth="1"/>
    <col min="12308" max="12308" width="12.5703125" style="247" customWidth="1"/>
    <col min="12309" max="12310" width="13" style="247" customWidth="1"/>
    <col min="12311" max="12311" width="12.140625" style="247" customWidth="1"/>
    <col min="12312" max="12312" width="13.140625" style="247" customWidth="1"/>
    <col min="12313" max="12313" width="12.5703125" style="247" customWidth="1"/>
    <col min="12314" max="12315" width="12.7109375" style="247" customWidth="1"/>
    <col min="12316" max="12316" width="12.5703125" style="247" customWidth="1"/>
    <col min="12317" max="12317" width="11.7109375" style="247" customWidth="1"/>
    <col min="12318" max="12318" width="13.42578125" style="247" customWidth="1"/>
    <col min="12319" max="12319" width="11.7109375" style="247" customWidth="1"/>
    <col min="12320" max="12544" width="9.140625" style="247"/>
    <col min="12545" max="12545" width="5.5703125" style="247" customWidth="1"/>
    <col min="12546" max="12546" width="6.42578125" style="247" customWidth="1"/>
    <col min="12547" max="12547" width="13.28515625" style="247" customWidth="1"/>
    <col min="12548" max="12548" width="6" style="247" customWidth="1"/>
    <col min="12549" max="12549" width="13.7109375" style="247" customWidth="1"/>
    <col min="12550" max="12550" width="0" style="247" hidden="1" customWidth="1"/>
    <col min="12551" max="12551" width="14" style="247" customWidth="1"/>
    <col min="12552" max="12552" width="16.85546875" style="247" customWidth="1"/>
    <col min="12553" max="12553" width="13.85546875" style="247" customWidth="1"/>
    <col min="12554" max="12554" width="15.85546875" style="247" customWidth="1"/>
    <col min="12555" max="12555" width="15.28515625" style="247" customWidth="1"/>
    <col min="12556" max="12556" width="15.140625" style="247" customWidth="1"/>
    <col min="12557" max="12557" width="16.42578125" style="247" customWidth="1"/>
    <col min="12558" max="12558" width="14.28515625" style="247" customWidth="1"/>
    <col min="12559" max="12559" width="12.5703125" style="247" customWidth="1"/>
    <col min="12560" max="12560" width="14.7109375" style="247" customWidth="1"/>
    <col min="12561" max="12561" width="14.85546875" style="247" customWidth="1"/>
    <col min="12562" max="12562" width="14.7109375" style="247" customWidth="1"/>
    <col min="12563" max="12563" width="17.5703125" style="247" customWidth="1"/>
    <col min="12564" max="12564" width="12.5703125" style="247" customWidth="1"/>
    <col min="12565" max="12566" width="13" style="247" customWidth="1"/>
    <col min="12567" max="12567" width="12.140625" style="247" customWidth="1"/>
    <col min="12568" max="12568" width="13.140625" style="247" customWidth="1"/>
    <col min="12569" max="12569" width="12.5703125" style="247" customWidth="1"/>
    <col min="12570" max="12571" width="12.7109375" style="247" customWidth="1"/>
    <col min="12572" max="12572" width="12.5703125" style="247" customWidth="1"/>
    <col min="12573" max="12573" width="11.7109375" style="247" customWidth="1"/>
    <col min="12574" max="12574" width="13.42578125" style="247" customWidth="1"/>
    <col min="12575" max="12575" width="11.7109375" style="247" customWidth="1"/>
    <col min="12576" max="12800" width="9.140625" style="247"/>
    <col min="12801" max="12801" width="5.5703125" style="247" customWidth="1"/>
    <col min="12802" max="12802" width="6.42578125" style="247" customWidth="1"/>
    <col min="12803" max="12803" width="13.28515625" style="247" customWidth="1"/>
    <col min="12804" max="12804" width="6" style="247" customWidth="1"/>
    <col min="12805" max="12805" width="13.7109375" style="247" customWidth="1"/>
    <col min="12806" max="12806" width="0" style="247" hidden="1" customWidth="1"/>
    <col min="12807" max="12807" width="14" style="247" customWidth="1"/>
    <col min="12808" max="12808" width="16.85546875" style="247" customWidth="1"/>
    <col min="12809" max="12809" width="13.85546875" style="247" customWidth="1"/>
    <col min="12810" max="12810" width="15.85546875" style="247" customWidth="1"/>
    <col min="12811" max="12811" width="15.28515625" style="247" customWidth="1"/>
    <col min="12812" max="12812" width="15.140625" style="247" customWidth="1"/>
    <col min="12813" max="12813" width="16.42578125" style="247" customWidth="1"/>
    <col min="12814" max="12814" width="14.28515625" style="247" customWidth="1"/>
    <col min="12815" max="12815" width="12.5703125" style="247" customWidth="1"/>
    <col min="12816" max="12816" width="14.7109375" style="247" customWidth="1"/>
    <col min="12817" max="12817" width="14.85546875" style="247" customWidth="1"/>
    <col min="12818" max="12818" width="14.7109375" style="247" customWidth="1"/>
    <col min="12819" max="12819" width="17.5703125" style="247" customWidth="1"/>
    <col min="12820" max="12820" width="12.5703125" style="247" customWidth="1"/>
    <col min="12821" max="12822" width="13" style="247" customWidth="1"/>
    <col min="12823" max="12823" width="12.140625" style="247" customWidth="1"/>
    <col min="12824" max="12824" width="13.140625" style="247" customWidth="1"/>
    <col min="12825" max="12825" width="12.5703125" style="247" customWidth="1"/>
    <col min="12826" max="12827" width="12.7109375" style="247" customWidth="1"/>
    <col min="12828" max="12828" width="12.5703125" style="247" customWidth="1"/>
    <col min="12829" max="12829" width="11.7109375" style="247" customWidth="1"/>
    <col min="12830" max="12830" width="13.42578125" style="247" customWidth="1"/>
    <col min="12831" max="12831" width="11.7109375" style="247" customWidth="1"/>
    <col min="12832" max="13056" width="9.140625" style="247"/>
    <col min="13057" max="13057" width="5.5703125" style="247" customWidth="1"/>
    <col min="13058" max="13058" width="6.42578125" style="247" customWidth="1"/>
    <col min="13059" max="13059" width="13.28515625" style="247" customWidth="1"/>
    <col min="13060" max="13060" width="6" style="247" customWidth="1"/>
    <col min="13061" max="13061" width="13.7109375" style="247" customWidth="1"/>
    <col min="13062" max="13062" width="0" style="247" hidden="1" customWidth="1"/>
    <col min="13063" max="13063" width="14" style="247" customWidth="1"/>
    <col min="13064" max="13064" width="16.85546875" style="247" customWidth="1"/>
    <col min="13065" max="13065" width="13.85546875" style="247" customWidth="1"/>
    <col min="13066" max="13066" width="15.85546875" style="247" customWidth="1"/>
    <col min="13067" max="13067" width="15.28515625" style="247" customWidth="1"/>
    <col min="13068" max="13068" width="15.140625" style="247" customWidth="1"/>
    <col min="13069" max="13069" width="16.42578125" style="247" customWidth="1"/>
    <col min="13070" max="13070" width="14.28515625" style="247" customWidth="1"/>
    <col min="13071" max="13071" width="12.5703125" style="247" customWidth="1"/>
    <col min="13072" max="13072" width="14.7109375" style="247" customWidth="1"/>
    <col min="13073" max="13073" width="14.85546875" style="247" customWidth="1"/>
    <col min="13074" max="13074" width="14.7109375" style="247" customWidth="1"/>
    <col min="13075" max="13075" width="17.5703125" style="247" customWidth="1"/>
    <col min="13076" max="13076" width="12.5703125" style="247" customWidth="1"/>
    <col min="13077" max="13078" width="13" style="247" customWidth="1"/>
    <col min="13079" max="13079" width="12.140625" style="247" customWidth="1"/>
    <col min="13080" max="13080" width="13.140625" style="247" customWidth="1"/>
    <col min="13081" max="13081" width="12.5703125" style="247" customWidth="1"/>
    <col min="13082" max="13083" width="12.7109375" style="247" customWidth="1"/>
    <col min="13084" max="13084" width="12.5703125" style="247" customWidth="1"/>
    <col min="13085" max="13085" width="11.7109375" style="247" customWidth="1"/>
    <col min="13086" max="13086" width="13.42578125" style="247" customWidth="1"/>
    <col min="13087" max="13087" width="11.7109375" style="247" customWidth="1"/>
    <col min="13088" max="13312" width="9.140625" style="247"/>
    <col min="13313" max="13313" width="5.5703125" style="247" customWidth="1"/>
    <col min="13314" max="13314" width="6.42578125" style="247" customWidth="1"/>
    <col min="13315" max="13315" width="13.28515625" style="247" customWidth="1"/>
    <col min="13316" max="13316" width="6" style="247" customWidth="1"/>
    <col min="13317" max="13317" width="13.7109375" style="247" customWidth="1"/>
    <col min="13318" max="13318" width="0" style="247" hidden="1" customWidth="1"/>
    <col min="13319" max="13319" width="14" style="247" customWidth="1"/>
    <col min="13320" max="13320" width="16.85546875" style="247" customWidth="1"/>
    <col min="13321" max="13321" width="13.85546875" style="247" customWidth="1"/>
    <col min="13322" max="13322" width="15.85546875" style="247" customWidth="1"/>
    <col min="13323" max="13323" width="15.28515625" style="247" customWidth="1"/>
    <col min="13324" max="13324" width="15.140625" style="247" customWidth="1"/>
    <col min="13325" max="13325" width="16.42578125" style="247" customWidth="1"/>
    <col min="13326" max="13326" width="14.28515625" style="247" customWidth="1"/>
    <col min="13327" max="13327" width="12.5703125" style="247" customWidth="1"/>
    <col min="13328" max="13328" width="14.7109375" style="247" customWidth="1"/>
    <col min="13329" max="13329" width="14.85546875" style="247" customWidth="1"/>
    <col min="13330" max="13330" width="14.7109375" style="247" customWidth="1"/>
    <col min="13331" max="13331" width="17.5703125" style="247" customWidth="1"/>
    <col min="13332" max="13332" width="12.5703125" style="247" customWidth="1"/>
    <col min="13333" max="13334" width="13" style="247" customWidth="1"/>
    <col min="13335" max="13335" width="12.140625" style="247" customWidth="1"/>
    <col min="13336" max="13336" width="13.140625" style="247" customWidth="1"/>
    <col min="13337" max="13337" width="12.5703125" style="247" customWidth="1"/>
    <col min="13338" max="13339" width="12.7109375" style="247" customWidth="1"/>
    <col min="13340" max="13340" width="12.5703125" style="247" customWidth="1"/>
    <col min="13341" max="13341" width="11.7109375" style="247" customWidth="1"/>
    <col min="13342" max="13342" width="13.42578125" style="247" customWidth="1"/>
    <col min="13343" max="13343" width="11.7109375" style="247" customWidth="1"/>
    <col min="13344" max="13568" width="9.140625" style="247"/>
    <col min="13569" max="13569" width="5.5703125" style="247" customWidth="1"/>
    <col min="13570" max="13570" width="6.42578125" style="247" customWidth="1"/>
    <col min="13571" max="13571" width="13.28515625" style="247" customWidth="1"/>
    <col min="13572" max="13572" width="6" style="247" customWidth="1"/>
    <col min="13573" max="13573" width="13.7109375" style="247" customWidth="1"/>
    <col min="13574" max="13574" width="0" style="247" hidden="1" customWidth="1"/>
    <col min="13575" max="13575" width="14" style="247" customWidth="1"/>
    <col min="13576" max="13576" width="16.85546875" style="247" customWidth="1"/>
    <col min="13577" max="13577" width="13.85546875" style="247" customWidth="1"/>
    <col min="13578" max="13578" width="15.85546875" style="247" customWidth="1"/>
    <col min="13579" max="13579" width="15.28515625" style="247" customWidth="1"/>
    <col min="13580" max="13580" width="15.140625" style="247" customWidth="1"/>
    <col min="13581" max="13581" width="16.42578125" style="247" customWidth="1"/>
    <col min="13582" max="13582" width="14.28515625" style="247" customWidth="1"/>
    <col min="13583" max="13583" width="12.5703125" style="247" customWidth="1"/>
    <col min="13584" max="13584" width="14.7109375" style="247" customWidth="1"/>
    <col min="13585" max="13585" width="14.85546875" style="247" customWidth="1"/>
    <col min="13586" max="13586" width="14.7109375" style="247" customWidth="1"/>
    <col min="13587" max="13587" width="17.5703125" style="247" customWidth="1"/>
    <col min="13588" max="13588" width="12.5703125" style="247" customWidth="1"/>
    <col min="13589" max="13590" width="13" style="247" customWidth="1"/>
    <col min="13591" max="13591" width="12.140625" style="247" customWidth="1"/>
    <col min="13592" max="13592" width="13.140625" style="247" customWidth="1"/>
    <col min="13593" max="13593" width="12.5703125" style="247" customWidth="1"/>
    <col min="13594" max="13595" width="12.7109375" style="247" customWidth="1"/>
    <col min="13596" max="13596" width="12.5703125" style="247" customWidth="1"/>
    <col min="13597" max="13597" width="11.7109375" style="247" customWidth="1"/>
    <col min="13598" max="13598" width="13.42578125" style="247" customWidth="1"/>
    <col min="13599" max="13599" width="11.7109375" style="247" customWidth="1"/>
    <col min="13600" max="13824" width="9.140625" style="247"/>
    <col min="13825" max="13825" width="5.5703125" style="247" customWidth="1"/>
    <col min="13826" max="13826" width="6.42578125" style="247" customWidth="1"/>
    <col min="13827" max="13827" width="13.28515625" style="247" customWidth="1"/>
    <col min="13828" max="13828" width="6" style="247" customWidth="1"/>
    <col min="13829" max="13829" width="13.7109375" style="247" customWidth="1"/>
    <col min="13830" max="13830" width="0" style="247" hidden="1" customWidth="1"/>
    <col min="13831" max="13831" width="14" style="247" customWidth="1"/>
    <col min="13832" max="13832" width="16.85546875" style="247" customWidth="1"/>
    <col min="13833" max="13833" width="13.85546875" style="247" customWidth="1"/>
    <col min="13834" max="13834" width="15.85546875" style="247" customWidth="1"/>
    <col min="13835" max="13835" width="15.28515625" style="247" customWidth="1"/>
    <col min="13836" max="13836" width="15.140625" style="247" customWidth="1"/>
    <col min="13837" max="13837" width="16.42578125" style="247" customWidth="1"/>
    <col min="13838" max="13838" width="14.28515625" style="247" customWidth="1"/>
    <col min="13839" max="13839" width="12.5703125" style="247" customWidth="1"/>
    <col min="13840" max="13840" width="14.7109375" style="247" customWidth="1"/>
    <col min="13841" max="13841" width="14.85546875" style="247" customWidth="1"/>
    <col min="13842" max="13842" width="14.7109375" style="247" customWidth="1"/>
    <col min="13843" max="13843" width="17.5703125" style="247" customWidth="1"/>
    <col min="13844" max="13844" width="12.5703125" style="247" customWidth="1"/>
    <col min="13845" max="13846" width="13" style="247" customWidth="1"/>
    <col min="13847" max="13847" width="12.140625" style="247" customWidth="1"/>
    <col min="13848" max="13848" width="13.140625" style="247" customWidth="1"/>
    <col min="13849" max="13849" width="12.5703125" style="247" customWidth="1"/>
    <col min="13850" max="13851" width="12.7109375" style="247" customWidth="1"/>
    <col min="13852" max="13852" width="12.5703125" style="247" customWidth="1"/>
    <col min="13853" max="13853" width="11.7109375" style="247" customWidth="1"/>
    <col min="13854" max="13854" width="13.42578125" style="247" customWidth="1"/>
    <col min="13855" max="13855" width="11.7109375" style="247" customWidth="1"/>
    <col min="13856" max="14080" width="9.140625" style="247"/>
    <col min="14081" max="14081" width="5.5703125" style="247" customWidth="1"/>
    <col min="14082" max="14082" width="6.42578125" style="247" customWidth="1"/>
    <col min="14083" max="14083" width="13.28515625" style="247" customWidth="1"/>
    <col min="14084" max="14084" width="6" style="247" customWidth="1"/>
    <col min="14085" max="14085" width="13.7109375" style="247" customWidth="1"/>
    <col min="14086" max="14086" width="0" style="247" hidden="1" customWidth="1"/>
    <col min="14087" max="14087" width="14" style="247" customWidth="1"/>
    <col min="14088" max="14088" width="16.85546875" style="247" customWidth="1"/>
    <col min="14089" max="14089" width="13.85546875" style="247" customWidth="1"/>
    <col min="14090" max="14090" width="15.85546875" style="247" customWidth="1"/>
    <col min="14091" max="14091" width="15.28515625" style="247" customWidth="1"/>
    <col min="14092" max="14092" width="15.140625" style="247" customWidth="1"/>
    <col min="14093" max="14093" width="16.42578125" style="247" customWidth="1"/>
    <col min="14094" max="14094" width="14.28515625" style="247" customWidth="1"/>
    <col min="14095" max="14095" width="12.5703125" style="247" customWidth="1"/>
    <col min="14096" max="14096" width="14.7109375" style="247" customWidth="1"/>
    <col min="14097" max="14097" width="14.85546875" style="247" customWidth="1"/>
    <col min="14098" max="14098" width="14.7109375" style="247" customWidth="1"/>
    <col min="14099" max="14099" width="17.5703125" style="247" customWidth="1"/>
    <col min="14100" max="14100" width="12.5703125" style="247" customWidth="1"/>
    <col min="14101" max="14102" width="13" style="247" customWidth="1"/>
    <col min="14103" max="14103" width="12.140625" style="247" customWidth="1"/>
    <col min="14104" max="14104" width="13.140625" style="247" customWidth="1"/>
    <col min="14105" max="14105" width="12.5703125" style="247" customWidth="1"/>
    <col min="14106" max="14107" width="12.7109375" style="247" customWidth="1"/>
    <col min="14108" max="14108" width="12.5703125" style="247" customWidth="1"/>
    <col min="14109" max="14109" width="11.7109375" style="247" customWidth="1"/>
    <col min="14110" max="14110" width="13.42578125" style="247" customWidth="1"/>
    <col min="14111" max="14111" width="11.7109375" style="247" customWidth="1"/>
    <col min="14112" max="14336" width="9.140625" style="247"/>
    <col min="14337" max="14337" width="5.5703125" style="247" customWidth="1"/>
    <col min="14338" max="14338" width="6.42578125" style="247" customWidth="1"/>
    <col min="14339" max="14339" width="13.28515625" style="247" customWidth="1"/>
    <col min="14340" max="14340" width="6" style="247" customWidth="1"/>
    <col min="14341" max="14341" width="13.7109375" style="247" customWidth="1"/>
    <col min="14342" max="14342" width="0" style="247" hidden="1" customWidth="1"/>
    <col min="14343" max="14343" width="14" style="247" customWidth="1"/>
    <col min="14344" max="14344" width="16.85546875" style="247" customWidth="1"/>
    <col min="14345" max="14345" width="13.85546875" style="247" customWidth="1"/>
    <col min="14346" max="14346" width="15.85546875" style="247" customWidth="1"/>
    <col min="14347" max="14347" width="15.28515625" style="247" customWidth="1"/>
    <col min="14348" max="14348" width="15.140625" style="247" customWidth="1"/>
    <col min="14349" max="14349" width="16.42578125" style="247" customWidth="1"/>
    <col min="14350" max="14350" width="14.28515625" style="247" customWidth="1"/>
    <col min="14351" max="14351" width="12.5703125" style="247" customWidth="1"/>
    <col min="14352" max="14352" width="14.7109375" style="247" customWidth="1"/>
    <col min="14353" max="14353" width="14.85546875" style="247" customWidth="1"/>
    <col min="14354" max="14354" width="14.7109375" style="247" customWidth="1"/>
    <col min="14355" max="14355" width="17.5703125" style="247" customWidth="1"/>
    <col min="14356" max="14356" width="12.5703125" style="247" customWidth="1"/>
    <col min="14357" max="14358" width="13" style="247" customWidth="1"/>
    <col min="14359" max="14359" width="12.140625" style="247" customWidth="1"/>
    <col min="14360" max="14360" width="13.140625" style="247" customWidth="1"/>
    <col min="14361" max="14361" width="12.5703125" style="247" customWidth="1"/>
    <col min="14362" max="14363" width="12.7109375" style="247" customWidth="1"/>
    <col min="14364" max="14364" width="12.5703125" style="247" customWidth="1"/>
    <col min="14365" max="14365" width="11.7109375" style="247" customWidth="1"/>
    <col min="14366" max="14366" width="13.42578125" style="247" customWidth="1"/>
    <col min="14367" max="14367" width="11.7109375" style="247" customWidth="1"/>
    <col min="14368" max="14592" width="9.140625" style="247"/>
    <col min="14593" max="14593" width="5.5703125" style="247" customWidth="1"/>
    <col min="14594" max="14594" width="6.42578125" style="247" customWidth="1"/>
    <col min="14595" max="14595" width="13.28515625" style="247" customWidth="1"/>
    <col min="14596" max="14596" width="6" style="247" customWidth="1"/>
    <col min="14597" max="14597" width="13.7109375" style="247" customWidth="1"/>
    <col min="14598" max="14598" width="0" style="247" hidden="1" customWidth="1"/>
    <col min="14599" max="14599" width="14" style="247" customWidth="1"/>
    <col min="14600" max="14600" width="16.85546875" style="247" customWidth="1"/>
    <col min="14601" max="14601" width="13.85546875" style="247" customWidth="1"/>
    <col min="14602" max="14602" width="15.85546875" style="247" customWidth="1"/>
    <col min="14603" max="14603" width="15.28515625" style="247" customWidth="1"/>
    <col min="14604" max="14604" width="15.140625" style="247" customWidth="1"/>
    <col min="14605" max="14605" width="16.42578125" style="247" customWidth="1"/>
    <col min="14606" max="14606" width="14.28515625" style="247" customWidth="1"/>
    <col min="14607" max="14607" width="12.5703125" style="247" customWidth="1"/>
    <col min="14608" max="14608" width="14.7109375" style="247" customWidth="1"/>
    <col min="14609" max="14609" width="14.85546875" style="247" customWidth="1"/>
    <col min="14610" max="14610" width="14.7109375" style="247" customWidth="1"/>
    <col min="14611" max="14611" width="17.5703125" style="247" customWidth="1"/>
    <col min="14612" max="14612" width="12.5703125" style="247" customWidth="1"/>
    <col min="14613" max="14614" width="13" style="247" customWidth="1"/>
    <col min="14615" max="14615" width="12.140625" style="247" customWidth="1"/>
    <col min="14616" max="14616" width="13.140625" style="247" customWidth="1"/>
    <col min="14617" max="14617" width="12.5703125" style="247" customWidth="1"/>
    <col min="14618" max="14619" width="12.7109375" style="247" customWidth="1"/>
    <col min="14620" max="14620" width="12.5703125" style="247" customWidth="1"/>
    <col min="14621" max="14621" width="11.7109375" style="247" customWidth="1"/>
    <col min="14622" max="14622" width="13.42578125" style="247" customWidth="1"/>
    <col min="14623" max="14623" width="11.7109375" style="247" customWidth="1"/>
    <col min="14624" max="14848" width="9.140625" style="247"/>
    <col min="14849" max="14849" width="5.5703125" style="247" customWidth="1"/>
    <col min="14850" max="14850" width="6.42578125" style="247" customWidth="1"/>
    <col min="14851" max="14851" width="13.28515625" style="247" customWidth="1"/>
    <col min="14852" max="14852" width="6" style="247" customWidth="1"/>
    <col min="14853" max="14853" width="13.7109375" style="247" customWidth="1"/>
    <col min="14854" max="14854" width="0" style="247" hidden="1" customWidth="1"/>
    <col min="14855" max="14855" width="14" style="247" customWidth="1"/>
    <col min="14856" max="14856" width="16.85546875" style="247" customWidth="1"/>
    <col min="14857" max="14857" width="13.85546875" style="247" customWidth="1"/>
    <col min="14858" max="14858" width="15.85546875" style="247" customWidth="1"/>
    <col min="14859" max="14859" width="15.28515625" style="247" customWidth="1"/>
    <col min="14860" max="14860" width="15.140625" style="247" customWidth="1"/>
    <col min="14861" max="14861" width="16.42578125" style="247" customWidth="1"/>
    <col min="14862" max="14862" width="14.28515625" style="247" customWidth="1"/>
    <col min="14863" max="14863" width="12.5703125" style="247" customWidth="1"/>
    <col min="14864" max="14864" width="14.7109375" style="247" customWidth="1"/>
    <col min="14865" max="14865" width="14.85546875" style="247" customWidth="1"/>
    <col min="14866" max="14866" width="14.7109375" style="247" customWidth="1"/>
    <col min="14867" max="14867" width="17.5703125" style="247" customWidth="1"/>
    <col min="14868" max="14868" width="12.5703125" style="247" customWidth="1"/>
    <col min="14869" max="14870" width="13" style="247" customWidth="1"/>
    <col min="14871" max="14871" width="12.140625" style="247" customWidth="1"/>
    <col min="14872" max="14872" width="13.140625" style="247" customWidth="1"/>
    <col min="14873" max="14873" width="12.5703125" style="247" customWidth="1"/>
    <col min="14874" max="14875" width="12.7109375" style="247" customWidth="1"/>
    <col min="14876" max="14876" width="12.5703125" style="247" customWidth="1"/>
    <col min="14877" max="14877" width="11.7109375" style="247" customWidth="1"/>
    <col min="14878" max="14878" width="13.42578125" style="247" customWidth="1"/>
    <col min="14879" max="14879" width="11.7109375" style="247" customWidth="1"/>
    <col min="14880" max="15104" width="9.140625" style="247"/>
    <col min="15105" max="15105" width="5.5703125" style="247" customWidth="1"/>
    <col min="15106" max="15106" width="6.42578125" style="247" customWidth="1"/>
    <col min="15107" max="15107" width="13.28515625" style="247" customWidth="1"/>
    <col min="15108" max="15108" width="6" style="247" customWidth="1"/>
    <col min="15109" max="15109" width="13.7109375" style="247" customWidth="1"/>
    <col min="15110" max="15110" width="0" style="247" hidden="1" customWidth="1"/>
    <col min="15111" max="15111" width="14" style="247" customWidth="1"/>
    <col min="15112" max="15112" width="16.85546875" style="247" customWidth="1"/>
    <col min="15113" max="15113" width="13.85546875" style="247" customWidth="1"/>
    <col min="15114" max="15114" width="15.85546875" style="247" customWidth="1"/>
    <col min="15115" max="15115" width="15.28515625" style="247" customWidth="1"/>
    <col min="15116" max="15116" width="15.140625" style="247" customWidth="1"/>
    <col min="15117" max="15117" width="16.42578125" style="247" customWidth="1"/>
    <col min="15118" max="15118" width="14.28515625" style="247" customWidth="1"/>
    <col min="15119" max="15119" width="12.5703125" style="247" customWidth="1"/>
    <col min="15120" max="15120" width="14.7109375" style="247" customWidth="1"/>
    <col min="15121" max="15121" width="14.85546875" style="247" customWidth="1"/>
    <col min="15122" max="15122" width="14.7109375" style="247" customWidth="1"/>
    <col min="15123" max="15123" width="17.5703125" style="247" customWidth="1"/>
    <col min="15124" max="15124" width="12.5703125" style="247" customWidth="1"/>
    <col min="15125" max="15126" width="13" style="247" customWidth="1"/>
    <col min="15127" max="15127" width="12.140625" style="247" customWidth="1"/>
    <col min="15128" max="15128" width="13.140625" style="247" customWidth="1"/>
    <col min="15129" max="15129" width="12.5703125" style="247" customWidth="1"/>
    <col min="15130" max="15131" width="12.7109375" style="247" customWidth="1"/>
    <col min="15132" max="15132" width="12.5703125" style="247" customWidth="1"/>
    <col min="15133" max="15133" width="11.7109375" style="247" customWidth="1"/>
    <col min="15134" max="15134" width="13.42578125" style="247" customWidth="1"/>
    <col min="15135" max="15135" width="11.7109375" style="247" customWidth="1"/>
    <col min="15136" max="15360" width="9.140625" style="247"/>
    <col min="15361" max="15361" width="5.5703125" style="247" customWidth="1"/>
    <col min="15362" max="15362" width="6.42578125" style="247" customWidth="1"/>
    <col min="15363" max="15363" width="13.28515625" style="247" customWidth="1"/>
    <col min="15364" max="15364" width="6" style="247" customWidth="1"/>
    <col min="15365" max="15365" width="13.7109375" style="247" customWidth="1"/>
    <col min="15366" max="15366" width="0" style="247" hidden="1" customWidth="1"/>
    <col min="15367" max="15367" width="14" style="247" customWidth="1"/>
    <col min="15368" max="15368" width="16.85546875" style="247" customWidth="1"/>
    <col min="15369" max="15369" width="13.85546875" style="247" customWidth="1"/>
    <col min="15370" max="15370" width="15.85546875" style="247" customWidth="1"/>
    <col min="15371" max="15371" width="15.28515625" style="247" customWidth="1"/>
    <col min="15372" max="15372" width="15.140625" style="247" customWidth="1"/>
    <col min="15373" max="15373" width="16.42578125" style="247" customWidth="1"/>
    <col min="15374" max="15374" width="14.28515625" style="247" customWidth="1"/>
    <col min="15375" max="15375" width="12.5703125" style="247" customWidth="1"/>
    <col min="15376" max="15376" width="14.7109375" style="247" customWidth="1"/>
    <col min="15377" max="15377" width="14.85546875" style="247" customWidth="1"/>
    <col min="15378" max="15378" width="14.7109375" style="247" customWidth="1"/>
    <col min="15379" max="15379" width="17.5703125" style="247" customWidth="1"/>
    <col min="15380" max="15380" width="12.5703125" style="247" customWidth="1"/>
    <col min="15381" max="15382" width="13" style="247" customWidth="1"/>
    <col min="15383" max="15383" width="12.140625" style="247" customWidth="1"/>
    <col min="15384" max="15384" width="13.140625" style="247" customWidth="1"/>
    <col min="15385" max="15385" width="12.5703125" style="247" customWidth="1"/>
    <col min="15386" max="15387" width="12.7109375" style="247" customWidth="1"/>
    <col min="15388" max="15388" width="12.5703125" style="247" customWidth="1"/>
    <col min="15389" max="15389" width="11.7109375" style="247" customWidth="1"/>
    <col min="15390" max="15390" width="13.42578125" style="247" customWidth="1"/>
    <col min="15391" max="15391" width="11.7109375" style="247" customWidth="1"/>
    <col min="15392" max="15616" width="9.140625" style="247"/>
    <col min="15617" max="15617" width="5.5703125" style="247" customWidth="1"/>
    <col min="15618" max="15618" width="6.42578125" style="247" customWidth="1"/>
    <col min="15619" max="15619" width="13.28515625" style="247" customWidth="1"/>
    <col min="15620" max="15620" width="6" style="247" customWidth="1"/>
    <col min="15621" max="15621" width="13.7109375" style="247" customWidth="1"/>
    <col min="15622" max="15622" width="0" style="247" hidden="1" customWidth="1"/>
    <col min="15623" max="15623" width="14" style="247" customWidth="1"/>
    <col min="15624" max="15624" width="16.85546875" style="247" customWidth="1"/>
    <col min="15625" max="15625" width="13.85546875" style="247" customWidth="1"/>
    <col min="15626" max="15626" width="15.85546875" style="247" customWidth="1"/>
    <col min="15627" max="15627" width="15.28515625" style="247" customWidth="1"/>
    <col min="15628" max="15628" width="15.140625" style="247" customWidth="1"/>
    <col min="15629" max="15629" width="16.42578125" style="247" customWidth="1"/>
    <col min="15630" max="15630" width="14.28515625" style="247" customWidth="1"/>
    <col min="15631" max="15631" width="12.5703125" style="247" customWidth="1"/>
    <col min="15632" max="15632" width="14.7109375" style="247" customWidth="1"/>
    <col min="15633" max="15633" width="14.85546875" style="247" customWidth="1"/>
    <col min="15634" max="15634" width="14.7109375" style="247" customWidth="1"/>
    <col min="15635" max="15635" width="17.5703125" style="247" customWidth="1"/>
    <col min="15636" max="15636" width="12.5703125" style="247" customWidth="1"/>
    <col min="15637" max="15638" width="13" style="247" customWidth="1"/>
    <col min="15639" max="15639" width="12.140625" style="247" customWidth="1"/>
    <col min="15640" max="15640" width="13.140625" style="247" customWidth="1"/>
    <col min="15641" max="15641" width="12.5703125" style="247" customWidth="1"/>
    <col min="15642" max="15643" width="12.7109375" style="247" customWidth="1"/>
    <col min="15644" max="15644" width="12.5703125" style="247" customWidth="1"/>
    <col min="15645" max="15645" width="11.7109375" style="247" customWidth="1"/>
    <col min="15646" max="15646" width="13.42578125" style="247" customWidth="1"/>
    <col min="15647" max="15647" width="11.7109375" style="247" customWidth="1"/>
    <col min="15648" max="15872" width="9.140625" style="247"/>
    <col min="15873" max="15873" width="5.5703125" style="247" customWidth="1"/>
    <col min="15874" max="15874" width="6.42578125" style="247" customWidth="1"/>
    <col min="15875" max="15875" width="13.28515625" style="247" customWidth="1"/>
    <col min="15876" max="15876" width="6" style="247" customWidth="1"/>
    <col min="15877" max="15877" width="13.7109375" style="247" customWidth="1"/>
    <col min="15878" max="15878" width="0" style="247" hidden="1" customWidth="1"/>
    <col min="15879" max="15879" width="14" style="247" customWidth="1"/>
    <col min="15880" max="15880" width="16.85546875" style="247" customWidth="1"/>
    <col min="15881" max="15881" width="13.85546875" style="247" customWidth="1"/>
    <col min="15882" max="15882" width="15.85546875" style="247" customWidth="1"/>
    <col min="15883" max="15883" width="15.28515625" style="247" customWidth="1"/>
    <col min="15884" max="15884" width="15.140625" style="247" customWidth="1"/>
    <col min="15885" max="15885" width="16.42578125" style="247" customWidth="1"/>
    <col min="15886" max="15886" width="14.28515625" style="247" customWidth="1"/>
    <col min="15887" max="15887" width="12.5703125" style="247" customWidth="1"/>
    <col min="15888" max="15888" width="14.7109375" style="247" customWidth="1"/>
    <col min="15889" max="15889" width="14.85546875" style="247" customWidth="1"/>
    <col min="15890" max="15890" width="14.7109375" style="247" customWidth="1"/>
    <col min="15891" max="15891" width="17.5703125" style="247" customWidth="1"/>
    <col min="15892" max="15892" width="12.5703125" style="247" customWidth="1"/>
    <col min="15893" max="15894" width="13" style="247" customWidth="1"/>
    <col min="15895" max="15895" width="12.140625" style="247" customWidth="1"/>
    <col min="15896" max="15896" width="13.140625" style="247" customWidth="1"/>
    <col min="15897" max="15897" width="12.5703125" style="247" customWidth="1"/>
    <col min="15898" max="15899" width="12.7109375" style="247" customWidth="1"/>
    <col min="15900" max="15900" width="12.5703125" style="247" customWidth="1"/>
    <col min="15901" max="15901" width="11.7109375" style="247" customWidth="1"/>
    <col min="15902" max="15902" width="13.42578125" style="247" customWidth="1"/>
    <col min="15903" max="15903" width="11.7109375" style="247" customWidth="1"/>
    <col min="15904" max="16128" width="9.140625" style="247"/>
    <col min="16129" max="16129" width="5.5703125" style="247" customWidth="1"/>
    <col min="16130" max="16130" width="6.42578125" style="247" customWidth="1"/>
    <col min="16131" max="16131" width="13.28515625" style="247" customWidth="1"/>
    <col min="16132" max="16132" width="6" style="247" customWidth="1"/>
    <col min="16133" max="16133" width="13.7109375" style="247" customWidth="1"/>
    <col min="16134" max="16134" width="0" style="247" hidden="1" customWidth="1"/>
    <col min="16135" max="16135" width="14" style="247" customWidth="1"/>
    <col min="16136" max="16136" width="16.85546875" style="247" customWidth="1"/>
    <col min="16137" max="16137" width="13.85546875" style="247" customWidth="1"/>
    <col min="16138" max="16138" width="15.85546875" style="247" customWidth="1"/>
    <col min="16139" max="16139" width="15.28515625" style="247" customWidth="1"/>
    <col min="16140" max="16140" width="15.140625" style="247" customWidth="1"/>
    <col min="16141" max="16141" width="16.42578125" style="247" customWidth="1"/>
    <col min="16142" max="16142" width="14.28515625" style="247" customWidth="1"/>
    <col min="16143" max="16143" width="12.5703125" style="247" customWidth="1"/>
    <col min="16144" max="16144" width="14.7109375" style="247" customWidth="1"/>
    <col min="16145" max="16145" width="14.85546875" style="247" customWidth="1"/>
    <col min="16146" max="16146" width="14.7109375" style="247" customWidth="1"/>
    <col min="16147" max="16147" width="17.5703125" style="247" customWidth="1"/>
    <col min="16148" max="16148" width="12.5703125" style="247" customWidth="1"/>
    <col min="16149" max="16150" width="13" style="247" customWidth="1"/>
    <col min="16151" max="16151" width="12.140625" style="247" customWidth="1"/>
    <col min="16152" max="16152" width="13.140625" style="247" customWidth="1"/>
    <col min="16153" max="16153" width="12.5703125" style="247" customWidth="1"/>
    <col min="16154" max="16155" width="12.7109375" style="247" customWidth="1"/>
    <col min="16156" max="16156" width="12.5703125" style="247" customWidth="1"/>
    <col min="16157" max="16157" width="11.7109375" style="247" customWidth="1"/>
    <col min="16158" max="16158" width="13.42578125" style="247" customWidth="1"/>
    <col min="16159" max="16159" width="11.7109375" style="247" customWidth="1"/>
    <col min="16160" max="16384" width="9.140625" style="247"/>
  </cols>
  <sheetData>
    <row r="1" spans="1:21" ht="45" customHeight="1" x14ac:dyDescent="0.25">
      <c r="A1" s="543" t="s">
        <v>626</v>
      </c>
      <c r="B1" s="544"/>
      <c r="C1" s="544"/>
      <c r="D1" s="544"/>
      <c r="E1" s="544"/>
      <c r="F1" s="544"/>
    </row>
    <row r="2" spans="1:21" ht="39" customHeight="1" x14ac:dyDescent="0.25">
      <c r="A2" s="248" t="s">
        <v>627</v>
      </c>
      <c r="B2" s="249" t="s">
        <v>628</v>
      </c>
      <c r="C2" s="249" t="s">
        <v>629</v>
      </c>
      <c r="D2" s="249" t="s">
        <v>630</v>
      </c>
      <c r="E2" s="250" t="s">
        <v>631</v>
      </c>
      <c r="F2" s="251" t="s">
        <v>632</v>
      </c>
      <c r="G2" s="252"/>
      <c r="H2" s="253" t="s">
        <v>633</v>
      </c>
      <c r="I2" s="253" t="s">
        <v>634</v>
      </c>
      <c r="J2" s="253" t="s">
        <v>635</v>
      </c>
      <c r="K2" s="254" t="s">
        <v>636</v>
      </c>
      <c r="L2" s="255" t="s">
        <v>637</v>
      </c>
      <c r="M2" s="253" t="s">
        <v>638</v>
      </c>
      <c r="N2" s="253" t="s">
        <v>639</v>
      </c>
      <c r="O2" s="253"/>
      <c r="P2" s="253"/>
      <c r="Q2" s="253"/>
      <c r="R2" s="256"/>
    </row>
    <row r="3" spans="1:21" ht="15" customHeight="1" x14ac:dyDescent="0.25">
      <c r="A3" s="257" t="s">
        <v>204</v>
      </c>
      <c r="B3" s="257" t="s">
        <v>640</v>
      </c>
      <c r="C3" s="257">
        <v>7444106010</v>
      </c>
      <c r="D3" s="257" t="s">
        <v>641</v>
      </c>
      <c r="E3" s="257"/>
      <c r="F3" s="258">
        <v>13330429.73</v>
      </c>
      <c r="G3" s="259"/>
      <c r="H3" s="260">
        <v>14359077.050000001</v>
      </c>
      <c r="I3" s="260">
        <f>H3-J3</f>
        <v>0</v>
      </c>
      <c r="J3" s="261">
        <v>14359077.050000001</v>
      </c>
      <c r="K3" s="260">
        <v>14359077.050000001</v>
      </c>
      <c r="L3" s="262">
        <f>H3-K3</f>
        <v>0</v>
      </c>
      <c r="M3" s="263">
        <v>14359077.050000001</v>
      </c>
      <c r="N3" s="263">
        <f>K3-M3</f>
        <v>0</v>
      </c>
      <c r="O3" s="263"/>
      <c r="P3" s="263"/>
      <c r="Q3" s="263"/>
      <c r="R3" s="260"/>
      <c r="S3" s="260"/>
      <c r="T3" s="260"/>
      <c r="U3" s="260"/>
    </row>
    <row r="4" spans="1:21" ht="15" customHeight="1" x14ac:dyDescent="0.25">
      <c r="A4" s="264" t="s">
        <v>204</v>
      </c>
      <c r="B4" s="264" t="s">
        <v>640</v>
      </c>
      <c r="C4" s="257">
        <v>7444106010</v>
      </c>
      <c r="D4" s="264" t="s">
        <v>642</v>
      </c>
      <c r="E4" s="264"/>
      <c r="F4" s="265">
        <f>3700119.11+325670.67</f>
        <v>4025789.78</v>
      </c>
      <c r="G4" s="259"/>
      <c r="H4" s="260">
        <v>4278761.82</v>
      </c>
      <c r="I4" s="260">
        <f t="shared" ref="I4:I138" si="0">H4-J4</f>
        <v>0</v>
      </c>
      <c r="J4" s="261">
        <v>4278761.82</v>
      </c>
      <c r="K4" s="260">
        <v>4278761.82</v>
      </c>
      <c r="L4" s="262">
        <f t="shared" ref="L4:L138" si="1">H4-K4</f>
        <v>0</v>
      </c>
      <c r="M4" s="266">
        <v>4278761.82</v>
      </c>
      <c r="N4" s="263">
        <f t="shared" ref="N4:N133" si="2">K4-M4</f>
        <v>0</v>
      </c>
      <c r="O4" s="263"/>
      <c r="P4" s="263"/>
      <c r="Q4" s="263"/>
      <c r="R4" s="260"/>
      <c r="S4" s="260"/>
      <c r="T4" s="260"/>
      <c r="U4" s="260"/>
    </row>
    <row r="5" spans="1:21" ht="15" customHeight="1" x14ac:dyDescent="0.25">
      <c r="A5" s="267" t="s">
        <v>204</v>
      </c>
      <c r="B5" s="264" t="s">
        <v>640</v>
      </c>
      <c r="C5" s="264">
        <v>7444106030</v>
      </c>
      <c r="D5" s="264">
        <v>122</v>
      </c>
      <c r="E5" s="264"/>
      <c r="F5" s="265"/>
      <c r="G5" s="259"/>
      <c r="H5" s="260">
        <v>0</v>
      </c>
      <c r="I5" s="260">
        <f t="shared" si="0"/>
        <v>0</v>
      </c>
      <c r="J5" s="261">
        <v>0</v>
      </c>
      <c r="K5" s="260">
        <v>0</v>
      </c>
      <c r="L5" s="262">
        <f t="shared" si="1"/>
        <v>0</v>
      </c>
      <c r="M5" s="266">
        <v>0</v>
      </c>
      <c r="N5" s="263">
        <f t="shared" si="2"/>
        <v>0</v>
      </c>
      <c r="O5" s="263"/>
      <c r="P5" s="263"/>
      <c r="Q5" s="263"/>
      <c r="R5" s="260"/>
      <c r="S5" s="260"/>
      <c r="T5" s="260"/>
      <c r="U5" s="260"/>
    </row>
    <row r="6" spans="1:21" ht="15" customHeight="1" x14ac:dyDescent="0.25">
      <c r="A6" s="264">
        <v>918</v>
      </c>
      <c r="B6" s="264" t="s">
        <v>640</v>
      </c>
      <c r="C6" s="257">
        <v>7444106030</v>
      </c>
      <c r="D6" s="264">
        <v>244</v>
      </c>
      <c r="E6" s="264"/>
      <c r="F6" s="265">
        <v>900</v>
      </c>
      <c r="G6" s="259"/>
      <c r="H6" s="260">
        <v>91162</v>
      </c>
      <c r="I6" s="260">
        <f t="shared" si="0"/>
        <v>0</v>
      </c>
      <c r="J6" s="261">
        <v>91162</v>
      </c>
      <c r="K6" s="260">
        <v>91162</v>
      </c>
      <c r="L6" s="262">
        <f t="shared" si="1"/>
        <v>0</v>
      </c>
      <c r="M6" s="266">
        <v>91162</v>
      </c>
      <c r="N6" s="263">
        <f t="shared" si="2"/>
        <v>0</v>
      </c>
      <c r="O6" s="263"/>
      <c r="P6" s="263"/>
      <c r="Q6" s="263"/>
      <c r="R6" s="260"/>
      <c r="S6" s="260"/>
      <c r="T6" s="260"/>
      <c r="U6" s="260"/>
    </row>
    <row r="7" spans="1:21" ht="15" customHeight="1" x14ac:dyDescent="0.25">
      <c r="A7" s="264" t="s">
        <v>204</v>
      </c>
      <c r="B7" s="264" t="s">
        <v>640</v>
      </c>
      <c r="C7" s="264">
        <v>7444113060</v>
      </c>
      <c r="D7" s="264">
        <v>122</v>
      </c>
      <c r="E7" s="264"/>
      <c r="F7" s="265"/>
      <c r="G7" s="260"/>
      <c r="H7" s="260">
        <v>262308.45</v>
      </c>
      <c r="I7" s="260">
        <f t="shared" si="0"/>
        <v>0</v>
      </c>
      <c r="J7" s="261">
        <v>262308.45</v>
      </c>
      <c r="K7" s="260">
        <v>262308.45</v>
      </c>
      <c r="L7" s="262">
        <f t="shared" si="1"/>
        <v>0</v>
      </c>
      <c r="M7" s="266">
        <v>262308.45</v>
      </c>
      <c r="N7" s="263">
        <f t="shared" si="2"/>
        <v>0</v>
      </c>
      <c r="O7" s="263"/>
      <c r="P7" s="263"/>
      <c r="Q7" s="263"/>
      <c r="R7" s="260"/>
      <c r="S7" s="260"/>
      <c r="T7" s="260"/>
      <c r="U7" s="260"/>
    </row>
    <row r="8" spans="1:21" ht="15" customHeight="1" x14ac:dyDescent="0.25">
      <c r="A8" s="267" t="s">
        <v>204</v>
      </c>
      <c r="B8" s="268" t="s">
        <v>643</v>
      </c>
      <c r="C8" s="264">
        <v>9061129990</v>
      </c>
      <c r="D8" s="264">
        <v>244</v>
      </c>
      <c r="E8" s="264"/>
      <c r="F8" s="265"/>
      <c r="G8" s="260"/>
      <c r="H8" s="260">
        <v>795930.97</v>
      </c>
      <c r="I8" s="260">
        <f t="shared" si="0"/>
        <v>0</v>
      </c>
      <c r="J8" s="261">
        <v>795930.97</v>
      </c>
      <c r="K8" s="260">
        <v>787467.25</v>
      </c>
      <c r="L8" s="262">
        <f t="shared" si="1"/>
        <v>8463.7199999999721</v>
      </c>
      <c r="M8" s="266">
        <v>787467.25</v>
      </c>
      <c r="N8" s="263">
        <f t="shared" si="2"/>
        <v>0</v>
      </c>
      <c r="O8" s="263"/>
      <c r="P8" s="263"/>
      <c r="Q8" s="263"/>
      <c r="R8" s="260"/>
      <c r="S8" s="260"/>
      <c r="T8" s="260"/>
      <c r="U8" s="260"/>
    </row>
    <row r="9" spans="1:21" ht="15" customHeight="1" x14ac:dyDescent="0.25">
      <c r="A9" s="267" t="s">
        <v>204</v>
      </c>
      <c r="B9" s="264" t="s">
        <v>644</v>
      </c>
      <c r="C9" s="264">
        <v>7411100090</v>
      </c>
      <c r="D9" s="264">
        <v>611</v>
      </c>
      <c r="E9" s="264"/>
      <c r="F9" s="265"/>
      <c r="G9" s="260"/>
      <c r="H9" s="260">
        <v>180547996.46000001</v>
      </c>
      <c r="I9" s="260">
        <f t="shared" si="0"/>
        <v>0</v>
      </c>
      <c r="J9" s="261">
        <v>180547996.46000001</v>
      </c>
      <c r="K9" s="260">
        <v>180547996.46000001</v>
      </c>
      <c r="L9" s="262">
        <f t="shared" si="1"/>
        <v>0</v>
      </c>
      <c r="M9" s="263">
        <v>180547996.46000001</v>
      </c>
      <c r="N9" s="263">
        <f t="shared" si="2"/>
        <v>0</v>
      </c>
      <c r="O9" s="263"/>
      <c r="P9" s="263"/>
      <c r="Q9" s="263"/>
      <c r="R9" s="260"/>
      <c r="S9" s="260"/>
      <c r="T9" s="260"/>
      <c r="U9" s="260"/>
    </row>
    <row r="10" spans="1:21" ht="15" customHeight="1" x14ac:dyDescent="0.25">
      <c r="A10" s="267" t="s">
        <v>204</v>
      </c>
      <c r="B10" s="264" t="s">
        <v>644</v>
      </c>
      <c r="C10" s="264">
        <v>7411100090</v>
      </c>
      <c r="D10" s="264">
        <v>621</v>
      </c>
      <c r="E10" s="264"/>
      <c r="F10" s="265"/>
      <c r="G10" s="260"/>
      <c r="H10" s="260">
        <v>59745530.780000001</v>
      </c>
      <c r="I10" s="260">
        <f t="shared" si="0"/>
        <v>0</v>
      </c>
      <c r="J10" s="261">
        <v>59745530.780000001</v>
      </c>
      <c r="K10" s="260">
        <v>59745530.780000001</v>
      </c>
      <c r="L10" s="262">
        <f t="shared" si="1"/>
        <v>0</v>
      </c>
      <c r="M10" s="263">
        <v>59745530.780000001</v>
      </c>
      <c r="N10" s="263">
        <f t="shared" si="2"/>
        <v>0</v>
      </c>
      <c r="O10" s="263"/>
      <c r="P10" s="263"/>
      <c r="Q10" s="263"/>
      <c r="R10" s="260"/>
      <c r="S10" s="260"/>
      <c r="T10" s="260"/>
      <c r="U10" s="260"/>
    </row>
    <row r="11" spans="1:21" ht="15" customHeight="1" x14ac:dyDescent="0.25">
      <c r="A11" s="267">
        <v>918</v>
      </c>
      <c r="B11" s="264" t="s">
        <v>644</v>
      </c>
      <c r="C11" s="264">
        <v>7411113060</v>
      </c>
      <c r="D11" s="264">
        <v>612</v>
      </c>
      <c r="E11" s="264"/>
      <c r="F11" s="265"/>
      <c r="G11" s="260"/>
      <c r="H11" s="260">
        <v>10707208.43</v>
      </c>
      <c r="I11" s="260">
        <f t="shared" si="0"/>
        <v>0</v>
      </c>
      <c r="J11" s="261">
        <v>10707208.43</v>
      </c>
      <c r="K11" s="260">
        <v>10707208.43</v>
      </c>
      <c r="L11" s="262">
        <f t="shared" si="1"/>
        <v>0</v>
      </c>
      <c r="M11" s="263">
        <v>10707208.43</v>
      </c>
      <c r="N11" s="263">
        <f t="shared" si="2"/>
        <v>0</v>
      </c>
      <c r="O11" s="263"/>
      <c r="P11" s="263"/>
      <c r="Q11" s="263"/>
      <c r="R11" s="260"/>
      <c r="S11" s="260"/>
      <c r="T11" s="260"/>
      <c r="U11" s="260"/>
    </row>
    <row r="12" spans="1:21" ht="15" customHeight="1" x14ac:dyDescent="0.25">
      <c r="A12" s="267">
        <v>918</v>
      </c>
      <c r="B12" s="264" t="s">
        <v>644</v>
      </c>
      <c r="C12" s="264">
        <v>7411113060</v>
      </c>
      <c r="D12" s="264">
        <v>622</v>
      </c>
      <c r="E12" s="264"/>
      <c r="F12" s="265"/>
      <c r="G12" s="260"/>
      <c r="H12" s="260">
        <v>2745409.01</v>
      </c>
      <c r="I12" s="260">
        <f t="shared" si="0"/>
        <v>0</v>
      </c>
      <c r="J12" s="261">
        <v>2745409.01</v>
      </c>
      <c r="K12" s="260">
        <v>2745409.01</v>
      </c>
      <c r="L12" s="262">
        <f t="shared" si="1"/>
        <v>0</v>
      </c>
      <c r="M12" s="263">
        <v>2745409.01</v>
      </c>
      <c r="N12" s="263">
        <f t="shared" si="2"/>
        <v>0</v>
      </c>
      <c r="O12" s="263"/>
      <c r="P12" s="263"/>
      <c r="Q12" s="263"/>
      <c r="R12" s="260"/>
      <c r="S12" s="260"/>
      <c r="T12" s="260"/>
      <c r="U12" s="260"/>
    </row>
    <row r="13" spans="1:21" ht="15" customHeight="1" x14ac:dyDescent="0.25">
      <c r="A13" s="267">
        <v>918</v>
      </c>
      <c r="B13" s="264" t="s">
        <v>644</v>
      </c>
      <c r="C13" s="264">
        <v>7411113070</v>
      </c>
      <c r="D13" s="264">
        <v>612</v>
      </c>
      <c r="E13" s="264"/>
      <c r="F13" s="265"/>
      <c r="G13" s="260"/>
      <c r="H13" s="260">
        <v>269615.8</v>
      </c>
      <c r="I13" s="260">
        <f t="shared" si="0"/>
        <v>0</v>
      </c>
      <c r="J13" s="261">
        <v>269615.8</v>
      </c>
      <c r="K13" s="260">
        <v>269615.8</v>
      </c>
      <c r="L13" s="262">
        <f t="shared" si="1"/>
        <v>0</v>
      </c>
      <c r="M13" s="263">
        <v>269615.8</v>
      </c>
      <c r="N13" s="263">
        <f t="shared" si="2"/>
        <v>0</v>
      </c>
      <c r="O13" s="263"/>
      <c r="P13" s="263"/>
      <c r="Q13" s="263"/>
      <c r="R13" s="260"/>
      <c r="S13" s="260"/>
      <c r="T13" s="260"/>
      <c r="U13" s="260"/>
    </row>
    <row r="14" spans="1:21" ht="15" customHeight="1" x14ac:dyDescent="0.25">
      <c r="A14" s="267">
        <v>918</v>
      </c>
      <c r="B14" s="264" t="s">
        <v>644</v>
      </c>
      <c r="C14" s="264">
        <v>7411113070</v>
      </c>
      <c r="D14" s="264">
        <v>622</v>
      </c>
      <c r="E14" s="264"/>
      <c r="F14" s="265"/>
      <c r="G14" s="260"/>
      <c r="H14" s="260">
        <v>178100.21</v>
      </c>
      <c r="I14" s="260">
        <f t="shared" si="0"/>
        <v>0</v>
      </c>
      <c r="J14" s="261">
        <v>178100.21</v>
      </c>
      <c r="K14" s="260">
        <v>178100.21</v>
      </c>
      <c r="L14" s="262">
        <f t="shared" si="1"/>
        <v>0</v>
      </c>
      <c r="M14" s="263">
        <v>178100.21</v>
      </c>
      <c r="N14" s="263"/>
      <c r="O14" s="263" t="s">
        <v>887</v>
      </c>
      <c r="P14" s="263"/>
      <c r="Q14" s="263"/>
      <c r="R14" s="260"/>
      <c r="S14" s="260"/>
      <c r="T14" s="260"/>
      <c r="U14" s="260"/>
    </row>
    <row r="15" spans="1:21" ht="15" customHeight="1" x14ac:dyDescent="0.25">
      <c r="A15" s="267" t="s">
        <v>204</v>
      </c>
      <c r="B15" s="264" t="s">
        <v>644</v>
      </c>
      <c r="C15" s="269">
        <v>7411171100</v>
      </c>
      <c r="D15" s="264">
        <v>611</v>
      </c>
      <c r="E15" s="264" t="s">
        <v>645</v>
      </c>
      <c r="F15" s="265"/>
      <c r="G15" s="260"/>
      <c r="H15" s="260">
        <v>9150616.2899999991</v>
      </c>
      <c r="I15" s="260">
        <f t="shared" si="0"/>
        <v>0</v>
      </c>
      <c r="J15" s="261">
        <v>9150616.2899999991</v>
      </c>
      <c r="K15" s="260">
        <v>9150616.2899999991</v>
      </c>
      <c r="L15" s="262">
        <f t="shared" si="1"/>
        <v>0</v>
      </c>
      <c r="M15" s="263">
        <v>9150616.2899999991</v>
      </c>
      <c r="N15" s="263">
        <f t="shared" si="2"/>
        <v>0</v>
      </c>
      <c r="O15" s="263"/>
      <c r="P15" s="263"/>
      <c r="Q15" s="263"/>
      <c r="R15" s="260"/>
      <c r="S15" s="260"/>
      <c r="T15" s="260"/>
      <c r="U15" s="260"/>
    </row>
    <row r="16" spans="1:21" ht="15" customHeight="1" x14ac:dyDescent="0.25">
      <c r="A16" s="267" t="s">
        <v>204</v>
      </c>
      <c r="B16" s="264" t="s">
        <v>644</v>
      </c>
      <c r="C16" s="269">
        <v>7411171100</v>
      </c>
      <c r="D16" s="264">
        <v>621</v>
      </c>
      <c r="E16" s="264" t="s">
        <v>645</v>
      </c>
      <c r="F16" s="265"/>
      <c r="G16" s="260"/>
      <c r="H16" s="260">
        <v>4756050.76</v>
      </c>
      <c r="I16" s="260">
        <f t="shared" si="0"/>
        <v>0</v>
      </c>
      <c r="J16" s="261">
        <v>4756050.76</v>
      </c>
      <c r="K16" s="260">
        <v>4756050.76</v>
      </c>
      <c r="L16" s="262">
        <f t="shared" si="1"/>
        <v>0</v>
      </c>
      <c r="M16" s="263">
        <v>4756050.76</v>
      </c>
      <c r="N16" s="263">
        <f t="shared" si="2"/>
        <v>0</v>
      </c>
      <c r="O16" s="263"/>
      <c r="P16" s="263"/>
      <c r="Q16" s="263"/>
      <c r="R16" s="260"/>
      <c r="S16" s="262"/>
      <c r="T16" s="260"/>
      <c r="U16" s="260"/>
    </row>
    <row r="17" spans="1:21" ht="15" customHeight="1" x14ac:dyDescent="0.25">
      <c r="A17" s="267" t="s">
        <v>204</v>
      </c>
      <c r="B17" s="264" t="s">
        <v>644</v>
      </c>
      <c r="C17" s="269">
        <v>7411175310</v>
      </c>
      <c r="D17" s="264">
        <v>611</v>
      </c>
      <c r="E17" s="264"/>
      <c r="F17" s="265"/>
      <c r="G17" s="260"/>
      <c r="H17" s="260">
        <v>357651249.67000002</v>
      </c>
      <c r="I17" s="260">
        <f t="shared" si="0"/>
        <v>0</v>
      </c>
      <c r="J17" s="261">
        <v>357651249.67000002</v>
      </c>
      <c r="K17" s="260">
        <v>357651249.67000002</v>
      </c>
      <c r="L17" s="262">
        <f t="shared" si="1"/>
        <v>0</v>
      </c>
      <c r="M17" s="263">
        <v>357651249.67000002</v>
      </c>
      <c r="N17" s="263">
        <f t="shared" si="2"/>
        <v>0</v>
      </c>
      <c r="O17" s="263"/>
      <c r="P17" s="263"/>
      <c r="Q17" s="263"/>
      <c r="R17" s="260"/>
      <c r="S17" s="260"/>
      <c r="T17" s="260"/>
      <c r="U17" s="260"/>
    </row>
    <row r="18" spans="1:21" ht="15" customHeight="1" x14ac:dyDescent="0.25">
      <c r="A18" s="267">
        <v>918</v>
      </c>
      <c r="B18" s="264" t="s">
        <v>644</v>
      </c>
      <c r="C18" s="269">
        <v>7411175310</v>
      </c>
      <c r="D18" s="264">
        <v>621</v>
      </c>
      <c r="E18" s="264"/>
      <c r="F18" s="265"/>
      <c r="G18" s="260"/>
      <c r="H18" s="260">
        <v>125892917.33</v>
      </c>
      <c r="I18" s="260">
        <f t="shared" si="0"/>
        <v>0</v>
      </c>
      <c r="J18" s="261">
        <v>125892917.33</v>
      </c>
      <c r="K18" s="260">
        <v>125892917.33</v>
      </c>
      <c r="L18" s="262">
        <f t="shared" si="1"/>
        <v>0</v>
      </c>
      <c r="M18" s="263">
        <v>125892917.33</v>
      </c>
      <c r="N18" s="263">
        <f t="shared" si="2"/>
        <v>0</v>
      </c>
      <c r="O18" s="263"/>
      <c r="P18" s="263"/>
      <c r="Q18" s="263"/>
      <c r="R18" s="260"/>
      <c r="S18" s="260"/>
      <c r="T18" s="260"/>
      <c r="U18" s="260"/>
    </row>
    <row r="19" spans="1:21" ht="15" customHeight="1" x14ac:dyDescent="0.25">
      <c r="A19" s="267" t="s">
        <v>204</v>
      </c>
      <c r="B19" s="264" t="s">
        <v>644</v>
      </c>
      <c r="C19" s="264" t="s">
        <v>218</v>
      </c>
      <c r="D19" s="264">
        <v>611</v>
      </c>
      <c r="E19" s="264"/>
      <c r="F19" s="265">
        <v>390000</v>
      </c>
      <c r="G19" s="259"/>
      <c r="H19" s="260">
        <v>741941.86</v>
      </c>
      <c r="I19" s="260">
        <f t="shared" si="0"/>
        <v>0</v>
      </c>
      <c r="J19" s="261">
        <v>741941.86</v>
      </c>
      <c r="K19" s="260">
        <v>741941.86</v>
      </c>
      <c r="L19" s="262">
        <f t="shared" si="1"/>
        <v>0</v>
      </c>
      <c r="M19" s="263">
        <v>741941.86</v>
      </c>
      <c r="N19" s="263">
        <f t="shared" si="2"/>
        <v>0</v>
      </c>
      <c r="O19" s="263"/>
      <c r="P19" s="263"/>
      <c r="Q19" s="263"/>
      <c r="R19" s="260"/>
      <c r="S19" s="260"/>
      <c r="T19" s="260"/>
      <c r="U19" s="260"/>
    </row>
    <row r="20" spans="1:21" ht="15" customHeight="1" x14ac:dyDescent="0.25">
      <c r="A20" s="267" t="s">
        <v>204</v>
      </c>
      <c r="B20" s="264" t="s">
        <v>644</v>
      </c>
      <c r="C20" s="264" t="s">
        <v>218</v>
      </c>
      <c r="D20" s="264">
        <v>621</v>
      </c>
      <c r="E20" s="264"/>
      <c r="F20" s="265"/>
      <c r="G20" s="259"/>
      <c r="H20" s="260">
        <v>385625.74</v>
      </c>
      <c r="I20" s="260">
        <f t="shared" si="0"/>
        <v>0</v>
      </c>
      <c r="J20" s="261">
        <v>385625.74</v>
      </c>
      <c r="K20" s="260">
        <v>385625.74</v>
      </c>
      <c r="L20" s="262">
        <f t="shared" si="1"/>
        <v>0</v>
      </c>
      <c r="M20" s="263">
        <v>385625.74</v>
      </c>
      <c r="N20" s="263">
        <f t="shared" si="2"/>
        <v>0</v>
      </c>
      <c r="O20" s="263"/>
      <c r="P20" s="263"/>
      <c r="Q20" s="263"/>
      <c r="R20" s="260"/>
      <c r="S20" s="260"/>
      <c r="T20" s="260"/>
      <c r="U20" s="260"/>
    </row>
    <row r="21" spans="1:21" ht="15" customHeight="1" x14ac:dyDescent="0.25">
      <c r="A21" s="267" t="s">
        <v>204</v>
      </c>
      <c r="B21" s="264" t="s">
        <v>644</v>
      </c>
      <c r="C21" s="264" t="s">
        <v>646</v>
      </c>
      <c r="D21" s="264">
        <v>611</v>
      </c>
      <c r="E21" s="264"/>
      <c r="F21" s="265"/>
      <c r="G21" s="259"/>
      <c r="H21" s="260">
        <v>4219001.4800000004</v>
      </c>
      <c r="I21" s="260">
        <f t="shared" si="0"/>
        <v>0</v>
      </c>
      <c r="J21" s="261">
        <v>4219001.4800000004</v>
      </c>
      <c r="K21" s="260">
        <v>4219001.4800000004</v>
      </c>
      <c r="L21" s="262">
        <f t="shared" si="1"/>
        <v>0</v>
      </c>
      <c r="M21" s="263">
        <v>4219001.4800000004</v>
      </c>
      <c r="N21" s="263">
        <f t="shared" si="2"/>
        <v>0</v>
      </c>
      <c r="O21" s="263"/>
      <c r="P21" s="263"/>
      <c r="Q21" s="263"/>
      <c r="R21" s="260"/>
      <c r="S21" s="260"/>
      <c r="T21" s="260"/>
      <c r="U21" s="260"/>
    </row>
    <row r="22" spans="1:21" ht="15" customHeight="1" x14ac:dyDescent="0.25">
      <c r="A22" s="267" t="s">
        <v>204</v>
      </c>
      <c r="B22" s="264" t="s">
        <v>644</v>
      </c>
      <c r="C22" s="264" t="s">
        <v>646</v>
      </c>
      <c r="D22" s="264">
        <v>621</v>
      </c>
      <c r="E22" s="264"/>
      <c r="F22" s="265"/>
      <c r="G22" s="259"/>
      <c r="H22" s="260">
        <v>2207124.16</v>
      </c>
      <c r="I22" s="260">
        <f t="shared" si="0"/>
        <v>0</v>
      </c>
      <c r="J22" s="261">
        <v>2207124.16</v>
      </c>
      <c r="K22" s="260">
        <v>2207124.16</v>
      </c>
      <c r="L22" s="262">
        <f t="shared" si="1"/>
        <v>0</v>
      </c>
      <c r="M22" s="263">
        <v>2207124.16</v>
      </c>
      <c r="N22" s="263">
        <f t="shared" si="2"/>
        <v>0</v>
      </c>
      <c r="O22" s="263"/>
      <c r="P22" s="263"/>
      <c r="Q22" s="263"/>
      <c r="R22" s="260"/>
      <c r="S22" s="260"/>
      <c r="T22" s="260"/>
      <c r="U22" s="260"/>
    </row>
    <row r="23" spans="1:21" ht="15" customHeight="1" x14ac:dyDescent="0.25">
      <c r="A23" s="267">
        <v>918</v>
      </c>
      <c r="B23" s="264" t="s">
        <v>644</v>
      </c>
      <c r="C23" s="264">
        <v>7411220090</v>
      </c>
      <c r="D23" s="264">
        <v>612</v>
      </c>
      <c r="E23" s="264"/>
      <c r="F23" s="265"/>
      <c r="G23" s="259"/>
      <c r="H23" s="260">
        <v>1202022</v>
      </c>
      <c r="I23" s="260">
        <f t="shared" si="0"/>
        <v>0</v>
      </c>
      <c r="J23" s="261">
        <v>1202022</v>
      </c>
      <c r="K23" s="260">
        <v>1198000</v>
      </c>
      <c r="L23" s="262">
        <f t="shared" si="1"/>
        <v>4022</v>
      </c>
      <c r="M23" s="263">
        <v>1198000</v>
      </c>
      <c r="N23" s="263">
        <f t="shared" si="2"/>
        <v>0</v>
      </c>
      <c r="O23" s="263"/>
      <c r="P23" s="263"/>
      <c r="Q23" s="263"/>
      <c r="R23" s="260"/>
      <c r="S23" s="260"/>
      <c r="T23" s="260"/>
      <c r="U23" s="260"/>
    </row>
    <row r="24" spans="1:21" ht="15" customHeight="1" x14ac:dyDescent="0.25">
      <c r="A24" s="267">
        <v>918</v>
      </c>
      <c r="B24" s="264" t="s">
        <v>644</v>
      </c>
      <c r="C24" s="264">
        <v>7411229990</v>
      </c>
      <c r="D24" s="264">
        <v>612</v>
      </c>
      <c r="E24" s="264"/>
      <c r="F24" s="265"/>
      <c r="G24" s="259"/>
      <c r="H24" s="260">
        <v>250000</v>
      </c>
      <c r="I24" s="260">
        <f t="shared" si="0"/>
        <v>0</v>
      </c>
      <c r="J24" s="261">
        <v>250000</v>
      </c>
      <c r="K24" s="260">
        <v>250000</v>
      </c>
      <c r="L24" s="262">
        <f t="shared" si="1"/>
        <v>0</v>
      </c>
      <c r="M24" s="263">
        <v>250000</v>
      </c>
      <c r="N24" s="263">
        <f t="shared" si="2"/>
        <v>0</v>
      </c>
      <c r="O24" s="263"/>
      <c r="P24" s="263"/>
      <c r="Q24" s="263"/>
      <c r="R24" s="260"/>
      <c r="S24" s="260"/>
      <c r="T24" s="260"/>
      <c r="U24" s="260"/>
    </row>
    <row r="25" spans="1:21" ht="15" customHeight="1" x14ac:dyDescent="0.25">
      <c r="A25" s="267">
        <v>918</v>
      </c>
      <c r="B25" s="264" t="s">
        <v>644</v>
      </c>
      <c r="C25" s="264">
        <v>7411229990</v>
      </c>
      <c r="D25" s="264">
        <v>622</v>
      </c>
      <c r="E25" s="264"/>
      <c r="F25" s="265"/>
      <c r="G25" s="259"/>
      <c r="H25" s="260">
        <v>250000</v>
      </c>
      <c r="I25" s="260">
        <f t="shared" si="0"/>
        <v>0</v>
      </c>
      <c r="J25" s="261">
        <v>250000</v>
      </c>
      <c r="K25" s="260">
        <v>250000</v>
      </c>
      <c r="L25" s="262">
        <f t="shared" si="1"/>
        <v>0</v>
      </c>
      <c r="M25" s="263">
        <v>250000</v>
      </c>
      <c r="N25" s="263">
        <f t="shared" si="2"/>
        <v>0</v>
      </c>
      <c r="O25" s="263"/>
      <c r="P25" s="263"/>
      <c r="Q25" s="263"/>
      <c r="R25" s="260"/>
      <c r="S25" s="260"/>
      <c r="T25" s="260"/>
      <c r="U25" s="260"/>
    </row>
    <row r="26" spans="1:21" ht="15" customHeight="1" x14ac:dyDescent="0.25">
      <c r="A26" s="267">
        <v>918</v>
      </c>
      <c r="B26" s="264" t="s">
        <v>644</v>
      </c>
      <c r="C26" s="269" t="s">
        <v>647</v>
      </c>
      <c r="D26" s="264">
        <v>612</v>
      </c>
      <c r="E26" s="264" t="s">
        <v>648</v>
      </c>
      <c r="F26" s="265"/>
      <c r="G26" s="259"/>
      <c r="H26" s="260">
        <v>1591333.51</v>
      </c>
      <c r="I26" s="260">
        <f t="shared" si="0"/>
        <v>0</v>
      </c>
      <c r="J26" s="261">
        <v>1591333.51</v>
      </c>
      <c r="K26" s="260">
        <v>1591333.51</v>
      </c>
      <c r="L26" s="262">
        <f t="shared" si="1"/>
        <v>0</v>
      </c>
      <c r="M26" s="263">
        <v>1591333.51</v>
      </c>
      <c r="N26" s="263">
        <f t="shared" si="2"/>
        <v>0</v>
      </c>
      <c r="O26" s="263"/>
      <c r="P26" s="263"/>
      <c r="Q26" s="263"/>
      <c r="R26" s="260"/>
      <c r="S26" s="260"/>
      <c r="T26" s="260"/>
      <c r="U26" s="260"/>
    </row>
    <row r="27" spans="1:21" ht="15" customHeight="1" x14ac:dyDescent="0.25">
      <c r="A27" s="264" t="s">
        <v>204</v>
      </c>
      <c r="B27" s="264" t="s">
        <v>649</v>
      </c>
      <c r="C27" s="264">
        <v>7422100090</v>
      </c>
      <c r="D27" s="264">
        <v>611</v>
      </c>
      <c r="E27" s="264"/>
      <c r="F27" s="265"/>
      <c r="G27" s="259"/>
      <c r="H27" s="260">
        <v>27589649</v>
      </c>
      <c r="I27" s="260">
        <f t="shared" si="0"/>
        <v>0</v>
      </c>
      <c r="J27" s="261">
        <v>27589649</v>
      </c>
      <c r="K27" s="260">
        <v>27589649</v>
      </c>
      <c r="L27" s="262">
        <f t="shared" si="1"/>
        <v>0</v>
      </c>
      <c r="M27" s="263">
        <v>27589649</v>
      </c>
      <c r="N27" s="263">
        <f t="shared" si="2"/>
        <v>0</v>
      </c>
      <c r="O27" s="263"/>
      <c r="P27" s="263"/>
      <c r="Q27" s="263"/>
      <c r="R27" s="260"/>
      <c r="S27" s="260"/>
      <c r="T27" s="260"/>
      <c r="U27" s="260"/>
    </row>
    <row r="28" spans="1:21" ht="15" customHeight="1" x14ac:dyDescent="0.25">
      <c r="A28" s="267">
        <v>918</v>
      </c>
      <c r="B28" s="264" t="s">
        <v>649</v>
      </c>
      <c r="C28" s="264">
        <v>7422100090</v>
      </c>
      <c r="D28" s="264">
        <v>621</v>
      </c>
      <c r="E28" s="264"/>
      <c r="F28" s="265"/>
      <c r="G28" s="259"/>
      <c r="H28" s="260">
        <v>69690586.609999999</v>
      </c>
      <c r="I28" s="260">
        <f t="shared" si="0"/>
        <v>0</v>
      </c>
      <c r="J28" s="261">
        <v>69690586.609999999</v>
      </c>
      <c r="K28" s="260">
        <v>69690586.609999999</v>
      </c>
      <c r="L28" s="262">
        <f t="shared" si="1"/>
        <v>0</v>
      </c>
      <c r="M28" s="263">
        <v>69690586.609999999</v>
      </c>
      <c r="N28" s="263">
        <f t="shared" si="2"/>
        <v>0</v>
      </c>
      <c r="O28" s="263"/>
      <c r="P28" s="263"/>
      <c r="Q28" s="263"/>
      <c r="R28" s="260"/>
      <c r="S28" s="260"/>
      <c r="T28" s="260"/>
      <c r="U28" s="260"/>
    </row>
    <row r="29" spans="1:21" ht="15" customHeight="1" x14ac:dyDescent="0.25">
      <c r="A29" s="267">
        <v>918</v>
      </c>
      <c r="B29" s="264" t="s">
        <v>649</v>
      </c>
      <c r="C29" s="264">
        <v>7422113060</v>
      </c>
      <c r="D29" s="264">
        <v>612</v>
      </c>
      <c r="E29" s="264"/>
      <c r="F29" s="265"/>
      <c r="G29" s="259"/>
      <c r="H29" s="260">
        <v>2046345.52</v>
      </c>
      <c r="I29" s="260">
        <f t="shared" si="0"/>
        <v>0</v>
      </c>
      <c r="J29" s="261">
        <v>2046345.52</v>
      </c>
      <c r="K29" s="260">
        <v>2046345.52</v>
      </c>
      <c r="L29" s="262">
        <f t="shared" si="1"/>
        <v>0</v>
      </c>
      <c r="M29" s="263">
        <v>2043946.54</v>
      </c>
      <c r="N29" s="263">
        <f t="shared" si="2"/>
        <v>2398.9799999999814</v>
      </c>
      <c r="O29" s="263"/>
      <c r="P29" s="263"/>
      <c r="Q29" s="263"/>
      <c r="R29" s="260">
        <f>H29+H30+H68+H69+H11+H12+H102+H107</f>
        <v>26171350.009999998</v>
      </c>
      <c r="S29" s="260"/>
      <c r="T29" s="260"/>
      <c r="U29" s="260"/>
    </row>
    <row r="30" spans="1:21" ht="15" customHeight="1" x14ac:dyDescent="0.25">
      <c r="A30" s="267">
        <v>918</v>
      </c>
      <c r="B30" s="264" t="s">
        <v>649</v>
      </c>
      <c r="C30" s="264">
        <v>7422113060</v>
      </c>
      <c r="D30" s="264">
        <v>622</v>
      </c>
      <c r="E30" s="264"/>
      <c r="F30" s="265"/>
      <c r="G30" s="259"/>
      <c r="H30" s="260">
        <v>5970654.8600000003</v>
      </c>
      <c r="I30" s="260">
        <f t="shared" si="0"/>
        <v>0</v>
      </c>
      <c r="J30" s="261">
        <v>5970654.8600000003</v>
      </c>
      <c r="K30" s="260">
        <v>5970447.21</v>
      </c>
      <c r="L30" s="262">
        <f t="shared" si="1"/>
        <v>207.65000000037253</v>
      </c>
      <c r="M30" s="263">
        <v>5970447.2000000002</v>
      </c>
      <c r="N30" s="263">
        <f t="shared" si="2"/>
        <v>9.9999997764825821E-3</v>
      </c>
      <c r="O30" s="263"/>
      <c r="P30" s="263"/>
      <c r="Q30" s="263"/>
      <c r="R30" s="260"/>
      <c r="S30" s="260"/>
      <c r="T30" s="260"/>
      <c r="U30" s="260"/>
    </row>
    <row r="31" spans="1:21" ht="15" customHeight="1" x14ac:dyDescent="0.25">
      <c r="A31" s="270">
        <v>918</v>
      </c>
      <c r="B31" s="264" t="s">
        <v>649</v>
      </c>
      <c r="C31" s="264">
        <v>7422113070</v>
      </c>
      <c r="D31" s="264">
        <v>612</v>
      </c>
      <c r="E31" s="264"/>
      <c r="F31" s="265"/>
      <c r="G31" s="259"/>
      <c r="H31" s="260">
        <v>118607</v>
      </c>
      <c r="I31" s="260">
        <f t="shared" si="0"/>
        <v>0</v>
      </c>
      <c r="J31" s="261">
        <v>118607</v>
      </c>
      <c r="K31" s="260">
        <v>118607</v>
      </c>
      <c r="L31" s="262">
        <f t="shared" si="1"/>
        <v>0</v>
      </c>
      <c r="M31" s="263">
        <v>118607</v>
      </c>
      <c r="N31" s="263">
        <f t="shared" si="2"/>
        <v>0</v>
      </c>
      <c r="O31" s="263"/>
      <c r="P31" s="263"/>
      <c r="Q31" s="263"/>
      <c r="R31" s="260"/>
      <c r="S31" s="260"/>
      <c r="T31" s="260"/>
      <c r="U31" s="260"/>
    </row>
    <row r="32" spans="1:21" ht="15" customHeight="1" x14ac:dyDescent="0.25">
      <c r="A32" s="267">
        <v>918</v>
      </c>
      <c r="B32" s="264" t="s">
        <v>649</v>
      </c>
      <c r="C32" s="264">
        <v>7422113070</v>
      </c>
      <c r="D32" s="264">
        <v>622</v>
      </c>
      <c r="E32" s="264"/>
      <c r="F32" s="265"/>
      <c r="G32" s="259"/>
      <c r="H32" s="260">
        <v>303394.95</v>
      </c>
      <c r="I32" s="260">
        <f t="shared" si="0"/>
        <v>0</v>
      </c>
      <c r="J32" s="261">
        <v>303394.95</v>
      </c>
      <c r="K32" s="260">
        <v>303394.95</v>
      </c>
      <c r="L32" s="262">
        <f t="shared" si="1"/>
        <v>0</v>
      </c>
      <c r="M32" s="263">
        <v>303394.95</v>
      </c>
      <c r="N32" s="263">
        <f t="shared" si="2"/>
        <v>0</v>
      </c>
      <c r="O32" s="263"/>
      <c r="P32" s="263"/>
      <c r="Q32" s="263"/>
      <c r="R32" s="260"/>
      <c r="S32" s="260"/>
      <c r="T32" s="260"/>
      <c r="U32" s="260"/>
    </row>
    <row r="33" spans="1:21" ht="22.5" customHeight="1" x14ac:dyDescent="0.25">
      <c r="A33" s="267">
        <v>918</v>
      </c>
      <c r="B33" s="264" t="s">
        <v>649</v>
      </c>
      <c r="C33" s="269">
        <v>7422153030</v>
      </c>
      <c r="D33" s="264">
        <v>612</v>
      </c>
      <c r="E33" s="271" t="s">
        <v>650</v>
      </c>
      <c r="F33" s="265"/>
      <c r="G33" s="259" t="s">
        <v>34</v>
      </c>
      <c r="H33" s="260">
        <v>12374208</v>
      </c>
      <c r="I33" s="260">
        <f t="shared" si="0"/>
        <v>0</v>
      </c>
      <c r="J33" s="261">
        <v>12374208</v>
      </c>
      <c r="K33" s="260">
        <v>12297644.35</v>
      </c>
      <c r="L33" s="262">
        <f t="shared" si="1"/>
        <v>76563.650000000373</v>
      </c>
      <c r="M33" s="263">
        <v>12266905.24</v>
      </c>
      <c r="N33" s="263">
        <f>K33-M33</f>
        <v>30739.109999999404</v>
      </c>
      <c r="O33" s="263"/>
      <c r="P33" s="263"/>
      <c r="Q33" s="263"/>
      <c r="R33" s="260" t="s">
        <v>651</v>
      </c>
      <c r="S33" s="260"/>
      <c r="T33" s="260"/>
      <c r="U33" s="260"/>
    </row>
    <row r="34" spans="1:21" ht="23.25" customHeight="1" x14ac:dyDescent="0.25">
      <c r="A34" s="267">
        <v>918</v>
      </c>
      <c r="B34" s="264" t="s">
        <v>649</v>
      </c>
      <c r="C34" s="269">
        <v>7422153030</v>
      </c>
      <c r="D34" s="264">
        <v>622</v>
      </c>
      <c r="E34" s="271" t="s">
        <v>650</v>
      </c>
      <c r="F34" s="265"/>
      <c r="G34" s="259" t="s">
        <v>34</v>
      </c>
      <c r="H34" s="260">
        <v>28013832</v>
      </c>
      <c r="I34" s="260">
        <f t="shared" si="0"/>
        <v>0</v>
      </c>
      <c r="J34" s="261">
        <v>28013832</v>
      </c>
      <c r="K34" s="260">
        <v>27864279.609999999</v>
      </c>
      <c r="L34" s="262">
        <f t="shared" si="1"/>
        <v>149552.3900000006</v>
      </c>
      <c r="M34" s="263">
        <v>27772381</v>
      </c>
      <c r="N34" s="263">
        <f t="shared" si="2"/>
        <v>91898.609999999404</v>
      </c>
      <c r="O34" s="263"/>
      <c r="P34" s="263"/>
      <c r="Q34" s="263"/>
      <c r="R34" s="260" t="s">
        <v>651</v>
      </c>
      <c r="S34" s="260"/>
      <c r="T34" s="260"/>
      <c r="U34" s="260"/>
    </row>
    <row r="35" spans="1:21" ht="15" customHeight="1" x14ac:dyDescent="0.25">
      <c r="A35" s="267">
        <v>918</v>
      </c>
      <c r="B35" s="264" t="s">
        <v>649</v>
      </c>
      <c r="C35" s="269">
        <v>7422171100</v>
      </c>
      <c r="D35" s="264">
        <v>621</v>
      </c>
      <c r="E35" s="264" t="s">
        <v>645</v>
      </c>
      <c r="F35" s="265"/>
      <c r="G35" s="259"/>
      <c r="H35" s="260">
        <v>569225.18999999994</v>
      </c>
      <c r="I35" s="260">
        <f t="shared" si="0"/>
        <v>0</v>
      </c>
      <c r="J35" s="261">
        <v>569225.18999999994</v>
      </c>
      <c r="K35" s="260">
        <v>569225.18999999994</v>
      </c>
      <c r="L35" s="262">
        <f t="shared" si="1"/>
        <v>0</v>
      </c>
      <c r="M35" s="263">
        <v>569225.18999999994</v>
      </c>
      <c r="N35" s="263">
        <f t="shared" si="2"/>
        <v>0</v>
      </c>
      <c r="O35" s="263"/>
      <c r="P35" s="263"/>
      <c r="Q35" s="263"/>
      <c r="R35" s="260"/>
      <c r="S35" s="260"/>
      <c r="T35" s="260"/>
      <c r="U35" s="260"/>
    </row>
    <row r="36" spans="1:21" ht="15" customHeight="1" x14ac:dyDescent="0.25">
      <c r="A36" s="267">
        <v>918</v>
      </c>
      <c r="B36" s="264" t="s">
        <v>649</v>
      </c>
      <c r="C36" s="269">
        <v>7422173030</v>
      </c>
      <c r="D36" s="264">
        <v>612</v>
      </c>
      <c r="E36" s="264" t="s">
        <v>652</v>
      </c>
      <c r="F36" s="265"/>
      <c r="G36" s="259"/>
      <c r="H36" s="260">
        <v>562464</v>
      </c>
      <c r="I36" s="260">
        <f t="shared" si="0"/>
        <v>0</v>
      </c>
      <c r="J36" s="261">
        <v>562464</v>
      </c>
      <c r="K36" s="260">
        <v>560610.4</v>
      </c>
      <c r="L36" s="262">
        <f t="shared" si="1"/>
        <v>1853.5999999999767</v>
      </c>
      <c r="M36" s="263">
        <v>558901</v>
      </c>
      <c r="N36" s="263">
        <f t="shared" si="2"/>
        <v>1709.4000000000233</v>
      </c>
      <c r="O36" s="263"/>
      <c r="P36" s="263"/>
      <c r="Q36" s="263"/>
      <c r="R36" s="260" t="s">
        <v>651</v>
      </c>
      <c r="S36" s="260"/>
      <c r="T36" s="260"/>
      <c r="U36" s="260"/>
    </row>
    <row r="37" spans="1:21" ht="15" customHeight="1" x14ac:dyDescent="0.25">
      <c r="A37" s="267">
        <v>918</v>
      </c>
      <c r="B37" s="264" t="s">
        <v>649</v>
      </c>
      <c r="C37" s="269">
        <v>7422173030</v>
      </c>
      <c r="D37" s="264">
        <v>622</v>
      </c>
      <c r="E37" s="264" t="s">
        <v>652</v>
      </c>
      <c r="F37" s="265"/>
      <c r="G37" s="259"/>
      <c r="H37" s="260">
        <v>1273356</v>
      </c>
      <c r="I37" s="260">
        <f t="shared" si="0"/>
        <v>0</v>
      </c>
      <c r="J37" s="261">
        <v>1273356</v>
      </c>
      <c r="K37" s="260">
        <v>1272062.49</v>
      </c>
      <c r="L37" s="262">
        <f t="shared" si="1"/>
        <v>1293.5100000000093</v>
      </c>
      <c r="M37" s="263">
        <v>1272062.49</v>
      </c>
      <c r="N37" s="263">
        <f t="shared" si="2"/>
        <v>0</v>
      </c>
      <c r="O37" s="263"/>
      <c r="P37" s="263"/>
      <c r="Q37" s="263"/>
      <c r="R37" s="260" t="s">
        <v>651</v>
      </c>
      <c r="S37" s="260"/>
      <c r="T37" s="260"/>
      <c r="U37" s="260"/>
    </row>
    <row r="38" spans="1:21" ht="15" customHeight="1" x14ac:dyDescent="0.25">
      <c r="A38" s="267">
        <v>918</v>
      </c>
      <c r="B38" s="264" t="s">
        <v>649</v>
      </c>
      <c r="C38" s="269">
        <v>7422175310</v>
      </c>
      <c r="D38" s="264">
        <v>611</v>
      </c>
      <c r="E38" s="264"/>
      <c r="F38" s="265"/>
      <c r="G38" s="259"/>
      <c r="H38" s="260">
        <v>138990477.44999999</v>
      </c>
      <c r="I38" s="260">
        <f t="shared" si="0"/>
        <v>0</v>
      </c>
      <c r="J38" s="261">
        <v>138990477.44999999</v>
      </c>
      <c r="K38" s="260">
        <v>138990477.44999999</v>
      </c>
      <c r="L38" s="262">
        <f t="shared" si="1"/>
        <v>0</v>
      </c>
      <c r="M38" s="263">
        <v>138990477.44999999</v>
      </c>
      <c r="N38" s="263">
        <f t="shared" si="2"/>
        <v>0</v>
      </c>
      <c r="O38" s="263"/>
      <c r="P38" s="263"/>
      <c r="Q38" s="263"/>
      <c r="R38" s="260"/>
      <c r="S38" s="260"/>
      <c r="T38" s="260"/>
      <c r="U38" s="260"/>
    </row>
    <row r="39" spans="1:21" ht="15" customHeight="1" x14ac:dyDescent="0.25">
      <c r="A39" s="264" t="s">
        <v>204</v>
      </c>
      <c r="B39" s="264" t="s">
        <v>649</v>
      </c>
      <c r="C39" s="269">
        <v>7422175310</v>
      </c>
      <c r="D39" s="264">
        <v>621</v>
      </c>
      <c r="E39" s="264"/>
      <c r="F39" s="265"/>
      <c r="G39" s="259"/>
      <c r="H39" s="260">
        <v>335649742.55000001</v>
      </c>
      <c r="I39" s="260">
        <f t="shared" si="0"/>
        <v>0</v>
      </c>
      <c r="J39" s="261">
        <v>335649742.55000001</v>
      </c>
      <c r="K39" s="260">
        <v>335649742.55000001</v>
      </c>
      <c r="L39" s="262">
        <f t="shared" si="1"/>
        <v>0</v>
      </c>
      <c r="M39" s="263">
        <v>335649742.55000001</v>
      </c>
      <c r="N39" s="263">
        <f t="shared" si="2"/>
        <v>0</v>
      </c>
      <c r="O39" s="263"/>
      <c r="P39" s="263"/>
      <c r="Q39" s="263"/>
      <c r="R39" s="260"/>
      <c r="S39" s="260"/>
      <c r="T39" s="260"/>
      <c r="U39" s="260"/>
    </row>
    <row r="40" spans="1:21" ht="15" customHeight="1" x14ac:dyDescent="0.25">
      <c r="A40" s="267" t="s">
        <v>204</v>
      </c>
      <c r="B40" s="264" t="s">
        <v>649</v>
      </c>
      <c r="C40" s="264" t="s">
        <v>241</v>
      </c>
      <c r="D40" s="264">
        <v>621</v>
      </c>
      <c r="E40" s="264"/>
      <c r="F40" s="265"/>
      <c r="G40" s="259"/>
      <c r="H40" s="260">
        <v>46153.39</v>
      </c>
      <c r="I40" s="260">
        <f t="shared" si="0"/>
        <v>0</v>
      </c>
      <c r="J40" s="261">
        <v>46153.39</v>
      </c>
      <c r="K40" s="260">
        <v>46153.39</v>
      </c>
      <c r="L40" s="262">
        <f t="shared" si="1"/>
        <v>0</v>
      </c>
      <c r="M40" s="263">
        <v>46153.39</v>
      </c>
      <c r="N40" s="263">
        <f t="shared" si="2"/>
        <v>0</v>
      </c>
      <c r="O40" s="263"/>
      <c r="P40" s="263"/>
      <c r="Q40" s="263"/>
      <c r="R40" s="260"/>
      <c r="S40" s="260"/>
      <c r="T40" s="260"/>
      <c r="U40" s="260"/>
    </row>
    <row r="41" spans="1:21" ht="23.25" customHeight="1" x14ac:dyDescent="0.25">
      <c r="A41" s="267">
        <v>918</v>
      </c>
      <c r="B41" s="264" t="s">
        <v>649</v>
      </c>
      <c r="C41" s="269" t="s">
        <v>248</v>
      </c>
      <c r="D41" s="264">
        <v>622</v>
      </c>
      <c r="E41" s="271" t="s">
        <v>653</v>
      </c>
      <c r="F41" s="265"/>
      <c r="G41" s="264" t="s">
        <v>34</v>
      </c>
      <c r="H41" s="260">
        <v>22518700</v>
      </c>
      <c r="I41" s="260">
        <f t="shared" si="0"/>
        <v>0</v>
      </c>
      <c r="J41" s="261">
        <v>22518700</v>
      </c>
      <c r="K41" s="260">
        <v>22377195.699999999</v>
      </c>
      <c r="L41" s="262">
        <f t="shared" si="1"/>
        <v>141504.30000000075</v>
      </c>
      <c r="M41" s="263">
        <v>22377195.699999999</v>
      </c>
      <c r="N41" s="263">
        <f t="shared" si="2"/>
        <v>0</v>
      </c>
      <c r="O41" s="263">
        <v>12237800</v>
      </c>
      <c r="P41" s="263">
        <f>O41+O42</f>
        <v>22518700</v>
      </c>
      <c r="Q41" s="263"/>
      <c r="R41" s="260"/>
      <c r="S41" s="260"/>
      <c r="T41" s="260"/>
      <c r="U41" s="260"/>
    </row>
    <row r="42" spans="1:21" ht="22.5" customHeight="1" x14ac:dyDescent="0.25">
      <c r="A42" s="267">
        <v>918</v>
      </c>
      <c r="B42" s="264" t="s">
        <v>649</v>
      </c>
      <c r="C42" s="269" t="s">
        <v>248</v>
      </c>
      <c r="D42" s="264">
        <v>622</v>
      </c>
      <c r="E42" s="271" t="s">
        <v>653</v>
      </c>
      <c r="F42" s="265"/>
      <c r="G42" s="264" t="s">
        <v>32</v>
      </c>
      <c r="H42" s="260">
        <v>9197870</v>
      </c>
      <c r="I42" s="260">
        <f t="shared" si="0"/>
        <v>0</v>
      </c>
      <c r="J42" s="261">
        <v>9197870</v>
      </c>
      <c r="K42" s="260">
        <v>9139981.3499999996</v>
      </c>
      <c r="L42" s="262">
        <f t="shared" si="1"/>
        <v>57888.650000000373</v>
      </c>
      <c r="M42" s="263">
        <v>9139981.3499999996</v>
      </c>
      <c r="N42" s="263">
        <f t="shared" si="2"/>
        <v>0</v>
      </c>
      <c r="O42" s="263">
        <v>10280900</v>
      </c>
      <c r="P42" s="263">
        <v>9197870</v>
      </c>
      <c r="Q42" s="263"/>
      <c r="R42" s="260"/>
      <c r="S42" s="260"/>
      <c r="T42" s="260"/>
      <c r="U42" s="260"/>
    </row>
    <row r="43" spans="1:21" ht="15" customHeight="1" x14ac:dyDescent="0.25">
      <c r="A43" s="267">
        <v>918</v>
      </c>
      <c r="B43" s="264" t="s">
        <v>649</v>
      </c>
      <c r="C43" s="264">
        <v>7422220090</v>
      </c>
      <c r="D43" s="264">
        <v>612</v>
      </c>
      <c r="E43" s="264"/>
      <c r="F43" s="265"/>
      <c r="G43" s="259"/>
      <c r="H43" s="261">
        <f>687360-687360</f>
        <v>0</v>
      </c>
      <c r="I43" s="260">
        <f t="shared" si="0"/>
        <v>0</v>
      </c>
      <c r="J43" s="260"/>
      <c r="K43" s="260">
        <v>0</v>
      </c>
      <c r="L43" s="262">
        <f t="shared" si="1"/>
        <v>0</v>
      </c>
      <c r="M43" s="263"/>
      <c r="N43" s="263">
        <f t="shared" si="2"/>
        <v>0</v>
      </c>
      <c r="O43" s="263"/>
      <c r="P43" s="263">
        <f>P41+P42</f>
        <v>31716570</v>
      </c>
      <c r="Q43" s="263"/>
      <c r="R43" s="260" t="s">
        <v>654</v>
      </c>
      <c r="S43" s="260"/>
      <c r="T43" s="260"/>
      <c r="U43" s="260"/>
    </row>
    <row r="44" spans="1:21" ht="15" customHeight="1" x14ac:dyDescent="0.25">
      <c r="A44" s="267">
        <v>919</v>
      </c>
      <c r="B44" s="264" t="s">
        <v>649</v>
      </c>
      <c r="C44" s="264">
        <v>7422229990</v>
      </c>
      <c r="D44" s="264">
        <v>612</v>
      </c>
      <c r="E44" s="264"/>
      <c r="F44" s="265"/>
      <c r="G44" s="259"/>
      <c r="H44" s="261">
        <f>687360</f>
        <v>687360</v>
      </c>
      <c r="I44" s="260">
        <f t="shared" si="0"/>
        <v>0</v>
      </c>
      <c r="J44" s="260">
        <v>687360</v>
      </c>
      <c r="K44" s="260">
        <v>687360</v>
      </c>
      <c r="L44" s="262">
        <f t="shared" si="1"/>
        <v>0</v>
      </c>
      <c r="M44" s="263">
        <v>687360</v>
      </c>
      <c r="N44" s="263">
        <f t="shared" si="2"/>
        <v>0</v>
      </c>
      <c r="O44" s="263"/>
      <c r="P44" s="263"/>
      <c r="Q44" s="263"/>
      <c r="R44" s="260"/>
      <c r="S44" s="260"/>
      <c r="T44" s="260"/>
      <c r="U44" s="260"/>
    </row>
    <row r="45" spans="1:21" ht="15" customHeight="1" x14ac:dyDescent="0.25">
      <c r="A45" s="267">
        <v>919</v>
      </c>
      <c r="B45" s="264" t="s">
        <v>649</v>
      </c>
      <c r="C45" s="264">
        <v>7422220090</v>
      </c>
      <c r="D45" s="264">
        <v>622</v>
      </c>
      <c r="E45" s="264"/>
      <c r="F45" s="265"/>
      <c r="G45" s="259"/>
      <c r="H45" s="260">
        <v>6224448</v>
      </c>
      <c r="I45" s="260">
        <f t="shared" si="0"/>
        <v>0</v>
      </c>
      <c r="J45" s="260">
        <f>4724448+1500000</f>
        <v>6224448</v>
      </c>
      <c r="K45" s="260">
        <v>6224448</v>
      </c>
      <c r="L45" s="262">
        <f t="shared" si="1"/>
        <v>0</v>
      </c>
      <c r="M45" s="263">
        <v>6224448</v>
      </c>
      <c r="N45" s="263">
        <f t="shared" si="2"/>
        <v>0</v>
      </c>
      <c r="O45" s="263"/>
      <c r="P45" s="263"/>
      <c r="Q45" s="263"/>
      <c r="R45" s="260" t="s">
        <v>655</v>
      </c>
      <c r="S45" s="260"/>
      <c r="T45" s="260"/>
      <c r="U45" s="260"/>
    </row>
    <row r="46" spans="1:21" ht="15" customHeight="1" x14ac:dyDescent="0.25">
      <c r="A46" s="267">
        <v>919</v>
      </c>
      <c r="B46" s="264" t="s">
        <v>649</v>
      </c>
      <c r="C46" s="264">
        <v>7422229990</v>
      </c>
      <c r="D46" s="264">
        <v>622</v>
      </c>
      <c r="E46" s="264"/>
      <c r="F46" s="265"/>
      <c r="G46" s="259"/>
      <c r="H46" s="260">
        <v>2244896</v>
      </c>
      <c r="I46" s="260">
        <f t="shared" si="0"/>
        <v>0</v>
      </c>
      <c r="J46" s="260">
        <v>2244896</v>
      </c>
      <c r="K46" s="260">
        <v>2221205.81</v>
      </c>
      <c r="L46" s="262">
        <f t="shared" si="1"/>
        <v>23690.189999999944</v>
      </c>
      <c r="M46" s="263">
        <v>2221205.81</v>
      </c>
      <c r="N46" s="263">
        <f t="shared" si="2"/>
        <v>0</v>
      </c>
      <c r="O46" s="263">
        <f>550000+272240+284400+255840+295776</f>
        <v>1658256</v>
      </c>
      <c r="P46" s="263">
        <f>H44+H46-550000</f>
        <v>2382256</v>
      </c>
      <c r="Q46" s="263" t="s">
        <v>656</v>
      </c>
      <c r="R46" s="260">
        <v>161747.01999999999</v>
      </c>
      <c r="S46" s="260"/>
      <c r="T46" s="260"/>
      <c r="U46" s="260"/>
    </row>
    <row r="47" spans="1:21" ht="15" customHeight="1" x14ac:dyDescent="0.25">
      <c r="A47" s="267">
        <v>918</v>
      </c>
      <c r="B47" s="264" t="s">
        <v>649</v>
      </c>
      <c r="C47" s="269">
        <v>7422270790</v>
      </c>
      <c r="D47" s="264">
        <v>612</v>
      </c>
      <c r="E47" s="264" t="s">
        <v>657</v>
      </c>
      <c r="F47" s="265"/>
      <c r="G47" s="259"/>
      <c r="H47" s="260">
        <v>3573694.95</v>
      </c>
      <c r="I47" s="260">
        <f t="shared" si="0"/>
        <v>0</v>
      </c>
      <c r="J47" s="260">
        <v>3573694.95</v>
      </c>
      <c r="K47" s="260">
        <v>3573694.95</v>
      </c>
      <c r="L47" s="262">
        <f t="shared" si="1"/>
        <v>0</v>
      </c>
      <c r="M47" s="263">
        <v>3573694.95</v>
      </c>
      <c r="N47" s="263">
        <f t="shared" si="2"/>
        <v>0</v>
      </c>
      <c r="O47" s="263">
        <f>H46-O46</f>
        <v>586640</v>
      </c>
      <c r="P47" s="263">
        <f>P46-H44</f>
        <v>1694896</v>
      </c>
      <c r="Q47" s="263"/>
      <c r="R47" s="260"/>
      <c r="S47" s="260"/>
      <c r="T47" s="260"/>
      <c r="U47" s="260"/>
    </row>
    <row r="48" spans="1:21" ht="15" customHeight="1" x14ac:dyDescent="0.25">
      <c r="A48" s="267">
        <v>918</v>
      </c>
      <c r="B48" s="264" t="s">
        <v>649</v>
      </c>
      <c r="C48" s="269">
        <v>7422270790</v>
      </c>
      <c r="D48" s="264">
        <v>622</v>
      </c>
      <c r="E48" s="264" t="s">
        <v>657</v>
      </c>
      <c r="F48" s="265"/>
      <c r="G48" s="259"/>
      <c r="H48" s="260">
        <v>540715.05000000005</v>
      </c>
      <c r="I48" s="260">
        <f t="shared" si="0"/>
        <v>0</v>
      </c>
      <c r="J48" s="260">
        <v>540715.05000000005</v>
      </c>
      <c r="K48" s="260">
        <v>540715.05000000005</v>
      </c>
      <c r="L48" s="262">
        <f t="shared" si="1"/>
        <v>0</v>
      </c>
      <c r="M48" s="263">
        <v>540715.05000000005</v>
      </c>
      <c r="N48" s="263">
        <f t="shared" si="2"/>
        <v>0</v>
      </c>
      <c r="O48" s="263"/>
      <c r="P48" s="263">
        <f>272240+284400+255840+295776</f>
        <v>1108256</v>
      </c>
      <c r="Q48" s="263"/>
      <c r="R48" s="260"/>
      <c r="S48" s="260"/>
      <c r="T48" s="260"/>
      <c r="U48" s="260"/>
    </row>
    <row r="49" spans="1:21" ht="15" customHeight="1" x14ac:dyDescent="0.25">
      <c r="A49" s="267">
        <v>918</v>
      </c>
      <c r="B49" s="264" t="s">
        <v>649</v>
      </c>
      <c r="C49" s="267" t="s">
        <v>250</v>
      </c>
      <c r="D49" s="264">
        <v>612</v>
      </c>
      <c r="E49" s="264"/>
      <c r="F49" s="265"/>
      <c r="G49" s="259"/>
      <c r="H49" s="260">
        <v>289759.05</v>
      </c>
      <c r="I49" s="260">
        <f t="shared" si="0"/>
        <v>0</v>
      </c>
      <c r="J49" s="260">
        <v>289759.05</v>
      </c>
      <c r="K49" s="260">
        <v>289759.05</v>
      </c>
      <c r="L49" s="262">
        <f t="shared" si="1"/>
        <v>0</v>
      </c>
      <c r="M49" s="263">
        <v>289759.05</v>
      </c>
      <c r="N49" s="263">
        <f t="shared" si="2"/>
        <v>0</v>
      </c>
      <c r="O49" s="263"/>
      <c r="P49" s="263">
        <f>P47-P48</f>
        <v>586640</v>
      </c>
      <c r="Q49" s="263"/>
      <c r="R49" s="260"/>
      <c r="S49" s="260"/>
      <c r="T49" s="260"/>
      <c r="U49" s="260"/>
    </row>
    <row r="50" spans="1:21" ht="15" customHeight="1" x14ac:dyDescent="0.25">
      <c r="A50" s="267">
        <v>918</v>
      </c>
      <c r="B50" s="264" t="s">
        <v>649</v>
      </c>
      <c r="C50" s="267" t="s">
        <v>250</v>
      </c>
      <c r="D50" s="264">
        <v>622</v>
      </c>
      <c r="E50" s="264"/>
      <c r="F50" s="265"/>
      <c r="G50" s="259"/>
      <c r="H50" s="260">
        <v>43841.760000000002</v>
      </c>
      <c r="I50" s="260">
        <f t="shared" si="0"/>
        <v>0</v>
      </c>
      <c r="J50" s="260">
        <v>43841.760000000002</v>
      </c>
      <c r="K50" s="260">
        <v>43841.760000000002</v>
      </c>
      <c r="L50" s="262">
        <f t="shared" si="1"/>
        <v>0</v>
      </c>
      <c r="M50" s="263">
        <v>43841.760000000002</v>
      </c>
      <c r="N50" s="263">
        <f t="shared" si="2"/>
        <v>0</v>
      </c>
      <c r="O50" s="263"/>
      <c r="P50" s="263"/>
      <c r="Q50" s="263"/>
      <c r="R50" s="260"/>
      <c r="S50" s="260"/>
      <c r="T50" s="260"/>
      <c r="U50" s="260"/>
    </row>
    <row r="51" spans="1:21" ht="15" customHeight="1" x14ac:dyDescent="0.25">
      <c r="A51" s="264" t="s">
        <v>204</v>
      </c>
      <c r="B51" s="264" t="s">
        <v>649</v>
      </c>
      <c r="C51" s="264">
        <v>7455300090</v>
      </c>
      <c r="D51" s="264">
        <v>621</v>
      </c>
      <c r="E51" s="264"/>
      <c r="F51" s="265">
        <v>63300</v>
      </c>
      <c r="G51" s="259"/>
      <c r="H51" s="260">
        <v>1168953.26</v>
      </c>
      <c r="I51" s="260">
        <f t="shared" si="0"/>
        <v>0</v>
      </c>
      <c r="J51" s="261">
        <v>1168953.26</v>
      </c>
      <c r="K51" s="260">
        <v>1168953.26</v>
      </c>
      <c r="L51" s="262">
        <f t="shared" si="1"/>
        <v>0</v>
      </c>
      <c r="M51" s="263">
        <v>1168953.26</v>
      </c>
      <c r="N51" s="263">
        <f t="shared" si="2"/>
        <v>0</v>
      </c>
      <c r="O51" s="263"/>
      <c r="P51" s="263"/>
      <c r="Q51" s="263"/>
      <c r="R51" s="260"/>
      <c r="S51" s="260"/>
      <c r="T51" s="260"/>
      <c r="U51" s="260"/>
    </row>
    <row r="52" spans="1:21" ht="15" customHeight="1" x14ac:dyDescent="0.25">
      <c r="A52" s="272" t="s">
        <v>204</v>
      </c>
      <c r="B52" s="264" t="s">
        <v>649</v>
      </c>
      <c r="C52" s="264">
        <v>7455329990</v>
      </c>
      <c r="D52" s="264">
        <v>622</v>
      </c>
      <c r="E52" s="264"/>
      <c r="F52" s="265"/>
      <c r="G52" s="259"/>
      <c r="H52" s="260">
        <v>711735.99</v>
      </c>
      <c r="I52" s="260">
        <f t="shared" si="0"/>
        <v>0</v>
      </c>
      <c r="J52" s="261">
        <v>711735.99</v>
      </c>
      <c r="K52" s="260">
        <v>711735.99</v>
      </c>
      <c r="L52" s="262">
        <f t="shared" si="1"/>
        <v>0</v>
      </c>
      <c r="M52" s="263">
        <v>711735.99</v>
      </c>
      <c r="N52" s="263">
        <f t="shared" si="2"/>
        <v>0</v>
      </c>
      <c r="O52" s="263"/>
      <c r="P52" s="263"/>
      <c r="Q52" s="263"/>
      <c r="R52" s="260"/>
      <c r="S52" s="260"/>
      <c r="T52" s="260"/>
      <c r="U52" s="260"/>
    </row>
    <row r="53" spans="1:21" ht="15" customHeight="1" x14ac:dyDescent="0.25">
      <c r="A53" s="264" t="s">
        <v>204</v>
      </c>
      <c r="B53" s="264" t="s">
        <v>649</v>
      </c>
      <c r="C53" s="269">
        <v>7455371040</v>
      </c>
      <c r="D53" s="264">
        <v>621</v>
      </c>
      <c r="E53" s="264" t="s">
        <v>658</v>
      </c>
      <c r="F53" s="265"/>
      <c r="G53" s="259"/>
      <c r="H53" s="260">
        <v>332890</v>
      </c>
      <c r="I53" s="260">
        <f t="shared" si="0"/>
        <v>0</v>
      </c>
      <c r="J53" s="261">
        <v>332890</v>
      </c>
      <c r="K53" s="260">
        <v>280000</v>
      </c>
      <c r="L53" s="262">
        <f t="shared" si="1"/>
        <v>52890</v>
      </c>
      <c r="M53" s="263">
        <v>254073.79</v>
      </c>
      <c r="N53" s="263">
        <f t="shared" si="2"/>
        <v>25926.209999999992</v>
      </c>
      <c r="O53" s="263">
        <f>O54+O55</f>
        <v>4548367.5199999996</v>
      </c>
      <c r="P53" s="263"/>
      <c r="Q53" s="263"/>
      <c r="R53" s="260"/>
      <c r="S53" s="260"/>
      <c r="T53" s="260"/>
      <c r="U53" s="260"/>
    </row>
    <row r="54" spans="1:21" ht="15" customHeight="1" x14ac:dyDescent="0.25">
      <c r="A54" s="264" t="s">
        <v>204</v>
      </c>
      <c r="B54" s="264" t="s">
        <v>649</v>
      </c>
      <c r="C54" s="269">
        <v>7455371100</v>
      </c>
      <c r="D54" s="264">
        <v>621</v>
      </c>
      <c r="E54" s="264" t="s">
        <v>645</v>
      </c>
      <c r="F54" s="265">
        <v>37545.08</v>
      </c>
      <c r="G54" s="259"/>
      <c r="H54" s="260">
        <v>264703.18</v>
      </c>
      <c r="I54" s="260">
        <f t="shared" si="0"/>
        <v>0</v>
      </c>
      <c r="J54" s="261">
        <v>264703.18</v>
      </c>
      <c r="K54" s="260">
        <v>264703.18</v>
      </c>
      <c r="L54" s="262">
        <f t="shared" si="1"/>
        <v>0</v>
      </c>
      <c r="M54" s="263">
        <v>264703.18</v>
      </c>
      <c r="N54" s="263">
        <f t="shared" si="2"/>
        <v>0</v>
      </c>
      <c r="O54" s="263">
        <f>H55+H111</f>
        <v>4457400</v>
      </c>
      <c r="P54" s="263"/>
      <c r="Q54" s="263"/>
      <c r="R54" s="260"/>
      <c r="S54" s="260"/>
      <c r="T54" s="260"/>
      <c r="U54" s="260"/>
    </row>
    <row r="55" spans="1:21" ht="15" customHeight="1" x14ac:dyDescent="0.25">
      <c r="A55" s="264" t="s">
        <v>204</v>
      </c>
      <c r="B55" s="264" t="s">
        <v>649</v>
      </c>
      <c r="C55" s="269">
        <v>7455371250</v>
      </c>
      <c r="D55" s="264">
        <v>621</v>
      </c>
      <c r="E55" s="264" t="s">
        <v>659</v>
      </c>
      <c r="F55" s="265"/>
      <c r="G55" s="259"/>
      <c r="H55" s="260">
        <v>516056</v>
      </c>
      <c r="I55" s="260">
        <f t="shared" si="0"/>
        <v>0</v>
      </c>
      <c r="J55" s="261">
        <v>516056</v>
      </c>
      <c r="K55" s="260">
        <v>430147.87</v>
      </c>
      <c r="L55" s="262">
        <f t="shared" si="1"/>
        <v>85908.13</v>
      </c>
      <c r="M55" s="263">
        <v>430147.87</v>
      </c>
      <c r="N55" s="263">
        <f t="shared" si="2"/>
        <v>0</v>
      </c>
      <c r="O55" s="263">
        <f>H62+H118</f>
        <v>90967.51999999999</v>
      </c>
      <c r="P55" s="263"/>
      <c r="Q55" s="263"/>
      <c r="R55" s="260"/>
      <c r="S55" s="260"/>
      <c r="T55" s="260"/>
      <c r="U55" s="260"/>
    </row>
    <row r="56" spans="1:21" ht="15" customHeight="1" x14ac:dyDescent="0.25">
      <c r="A56" s="264" t="s">
        <v>204</v>
      </c>
      <c r="B56" s="264" t="s">
        <v>649</v>
      </c>
      <c r="C56" s="269">
        <v>7455375320</v>
      </c>
      <c r="D56" s="264">
        <v>621</v>
      </c>
      <c r="E56" s="264" t="s">
        <v>660</v>
      </c>
      <c r="F56" s="265"/>
      <c r="G56" s="259"/>
      <c r="H56" s="260">
        <v>1198174</v>
      </c>
      <c r="I56" s="260">
        <f t="shared" si="0"/>
        <v>0</v>
      </c>
      <c r="J56" s="261">
        <v>1198174</v>
      </c>
      <c r="K56" s="260">
        <v>945360</v>
      </c>
      <c r="L56" s="262">
        <f t="shared" si="1"/>
        <v>252814</v>
      </c>
      <c r="M56" s="263">
        <v>945360</v>
      </c>
      <c r="N56" s="263">
        <f t="shared" si="2"/>
        <v>0</v>
      </c>
      <c r="O56" s="263"/>
      <c r="P56" s="263"/>
      <c r="Q56" s="263"/>
      <c r="R56" s="260"/>
      <c r="S56" s="260"/>
      <c r="T56" s="260"/>
      <c r="U56" s="260"/>
    </row>
    <row r="57" spans="1:21" ht="24" customHeight="1" x14ac:dyDescent="0.25">
      <c r="A57" s="264" t="s">
        <v>204</v>
      </c>
      <c r="B57" s="264" t="s">
        <v>649</v>
      </c>
      <c r="C57" s="269" t="s">
        <v>323</v>
      </c>
      <c r="D57" s="264">
        <v>621</v>
      </c>
      <c r="E57" s="271" t="s">
        <v>661</v>
      </c>
      <c r="F57" s="265"/>
      <c r="G57" s="264" t="s">
        <v>34</v>
      </c>
      <c r="H57" s="260">
        <v>3824501.05</v>
      </c>
      <c r="I57" s="260">
        <f t="shared" si="0"/>
        <v>0</v>
      </c>
      <c r="J57" s="261">
        <v>3824501.05</v>
      </c>
      <c r="K57" s="273">
        <f>4633963.72-92679.27</f>
        <v>4541284.45</v>
      </c>
      <c r="L57" s="262">
        <f t="shared" si="1"/>
        <v>-716783.40000000037</v>
      </c>
      <c r="M57" s="274">
        <f>R57*71%</f>
        <v>3209678.4192999997</v>
      </c>
      <c r="N57" s="263">
        <f t="shared" si="2"/>
        <v>1331606.0307000005</v>
      </c>
      <c r="O57" s="263">
        <f>M57+M59</f>
        <v>3301937.0692999996</v>
      </c>
      <c r="P57" s="263"/>
      <c r="Q57" s="263">
        <f>H57+H58+H59</f>
        <v>5496552.2399999993</v>
      </c>
      <c r="R57" s="260">
        <v>4520673.83</v>
      </c>
      <c r="S57" s="260"/>
      <c r="T57" s="260"/>
      <c r="U57" s="260"/>
    </row>
    <row r="58" spans="1:21" ht="21.75" customHeight="1" x14ac:dyDescent="0.25">
      <c r="A58" s="264" t="s">
        <v>204</v>
      </c>
      <c r="B58" s="264" t="s">
        <v>649</v>
      </c>
      <c r="C58" s="269" t="s">
        <v>323</v>
      </c>
      <c r="D58" s="264">
        <v>621</v>
      </c>
      <c r="E58" s="271" t="s">
        <v>661</v>
      </c>
      <c r="F58" s="265"/>
      <c r="G58" s="264" t="s">
        <v>32</v>
      </c>
      <c r="H58" s="260">
        <v>1562120.15</v>
      </c>
      <c r="I58" s="260">
        <f t="shared" si="0"/>
        <v>0</v>
      </c>
      <c r="J58" s="261">
        <v>1562120.15</v>
      </c>
      <c r="K58" s="273">
        <v>0</v>
      </c>
      <c r="L58" s="262">
        <f t="shared" si="1"/>
        <v>1562120.15</v>
      </c>
      <c r="M58" s="274">
        <f>R57*29%</f>
        <v>1310995.4106999999</v>
      </c>
      <c r="N58" s="263">
        <f t="shared" si="2"/>
        <v>-1310995.4106999999</v>
      </c>
      <c r="O58" s="263">
        <v>4612932.4800000004</v>
      </c>
      <c r="P58" s="263"/>
      <c r="Q58" s="263"/>
      <c r="R58" s="260"/>
      <c r="S58" s="260"/>
      <c r="T58" s="260"/>
      <c r="U58" s="260"/>
    </row>
    <row r="59" spans="1:21" ht="24" customHeight="1" x14ac:dyDescent="0.25">
      <c r="A59" s="264" t="s">
        <v>204</v>
      </c>
      <c r="B59" s="264" t="s">
        <v>649</v>
      </c>
      <c r="C59" s="267" t="s">
        <v>323</v>
      </c>
      <c r="D59" s="264">
        <v>621</v>
      </c>
      <c r="E59" s="271" t="s">
        <v>661</v>
      </c>
      <c r="F59" s="265"/>
      <c r="G59" s="264" t="s">
        <v>30</v>
      </c>
      <c r="H59" s="260">
        <f>105967.32+3963.72</f>
        <v>109931.04000000001</v>
      </c>
      <c r="I59" s="260">
        <f t="shared" si="0"/>
        <v>0</v>
      </c>
      <c r="J59" s="261">
        <f>105967.32+3963.72</f>
        <v>109931.04000000001</v>
      </c>
      <c r="K59" s="273">
        <v>92679.27</v>
      </c>
      <c r="L59" s="262">
        <f t="shared" si="1"/>
        <v>17251.770000000004</v>
      </c>
      <c r="M59" s="274">
        <v>92258.65</v>
      </c>
      <c r="N59" s="263">
        <f t="shared" si="2"/>
        <v>420.6200000000099</v>
      </c>
      <c r="O59" s="263">
        <f>N57+N59</f>
        <v>1332026.6507000006</v>
      </c>
      <c r="P59" s="263"/>
      <c r="Q59" s="263"/>
      <c r="R59" s="260"/>
      <c r="S59" s="260"/>
      <c r="T59" s="260"/>
      <c r="U59" s="260"/>
    </row>
    <row r="60" spans="1:21" ht="15" customHeight="1" x14ac:dyDescent="0.25">
      <c r="A60" s="267">
        <v>918</v>
      </c>
      <c r="B60" s="264" t="s">
        <v>649</v>
      </c>
      <c r="C60" s="264" t="s">
        <v>325</v>
      </c>
      <c r="D60" s="264">
        <v>621</v>
      </c>
      <c r="E60" s="264"/>
      <c r="F60" s="265"/>
      <c r="G60" s="259"/>
      <c r="H60" s="260">
        <v>749877.4</v>
      </c>
      <c r="I60" s="260">
        <f t="shared" si="0"/>
        <v>0</v>
      </c>
      <c r="J60" s="261">
        <v>749877.4</v>
      </c>
      <c r="K60" s="260">
        <v>749877.4</v>
      </c>
      <c r="L60" s="262">
        <f t="shared" si="1"/>
        <v>0</v>
      </c>
      <c r="M60" s="263">
        <v>749877.4</v>
      </c>
      <c r="N60" s="263">
        <f t="shared" si="2"/>
        <v>0</v>
      </c>
      <c r="O60" s="263"/>
      <c r="P60" s="263"/>
      <c r="Q60" s="263"/>
      <c r="R60" s="260"/>
      <c r="S60" s="260"/>
      <c r="T60" s="260"/>
      <c r="U60" s="260"/>
    </row>
    <row r="61" spans="1:21" ht="15" customHeight="1" x14ac:dyDescent="0.25">
      <c r="A61" s="270">
        <v>918</v>
      </c>
      <c r="B61" s="264" t="s">
        <v>649</v>
      </c>
      <c r="C61" s="264" t="s">
        <v>326</v>
      </c>
      <c r="D61" s="264">
        <v>621</v>
      </c>
      <c r="E61" s="264"/>
      <c r="F61" s="265">
        <v>63494.92</v>
      </c>
      <c r="G61" s="259"/>
      <c r="H61" s="260">
        <v>21462.42</v>
      </c>
      <c r="I61" s="260">
        <f t="shared" si="0"/>
        <v>0</v>
      </c>
      <c r="J61" s="261">
        <v>21462.42</v>
      </c>
      <c r="K61" s="260">
        <v>21462.42</v>
      </c>
      <c r="L61" s="262">
        <f t="shared" si="1"/>
        <v>0</v>
      </c>
      <c r="M61" s="263">
        <v>21462.42</v>
      </c>
      <c r="N61" s="263">
        <f t="shared" si="2"/>
        <v>0</v>
      </c>
      <c r="O61" s="263"/>
      <c r="P61" s="263"/>
      <c r="Q61" s="263"/>
      <c r="R61" s="260"/>
      <c r="S61" s="260"/>
      <c r="T61" s="260"/>
      <c r="U61" s="260"/>
    </row>
    <row r="62" spans="1:21" ht="15" customHeight="1" x14ac:dyDescent="0.25">
      <c r="A62" s="270">
        <v>918</v>
      </c>
      <c r="B62" s="264" t="s">
        <v>649</v>
      </c>
      <c r="C62" s="270" t="s">
        <v>328</v>
      </c>
      <c r="D62" s="264">
        <v>621</v>
      </c>
      <c r="E62" s="264"/>
      <c r="F62" s="265"/>
      <c r="G62" s="259"/>
      <c r="H62" s="260">
        <v>10531.76</v>
      </c>
      <c r="I62" s="260">
        <f t="shared" si="0"/>
        <v>0</v>
      </c>
      <c r="J62" s="261">
        <v>10531.76</v>
      </c>
      <c r="K62" s="260">
        <v>8778.5300000000007</v>
      </c>
      <c r="L62" s="262">
        <f t="shared" si="1"/>
        <v>1753.2299999999996</v>
      </c>
      <c r="M62" s="263">
        <v>8778.5300000000007</v>
      </c>
      <c r="N62" s="263">
        <f t="shared" si="2"/>
        <v>0</v>
      </c>
      <c r="O62" s="263"/>
      <c r="P62" s="263"/>
      <c r="Q62" s="263"/>
      <c r="R62" s="260"/>
      <c r="S62" s="260"/>
      <c r="T62" s="260"/>
      <c r="U62" s="260"/>
    </row>
    <row r="63" spans="1:21" ht="15" customHeight="1" x14ac:dyDescent="0.25">
      <c r="A63" s="270">
        <v>918</v>
      </c>
      <c r="B63" s="264" t="s">
        <v>649</v>
      </c>
      <c r="C63" s="270" t="s">
        <v>662</v>
      </c>
      <c r="D63" s="264">
        <v>621</v>
      </c>
      <c r="E63" s="264"/>
      <c r="F63" s="265"/>
      <c r="G63" s="261"/>
      <c r="H63" s="260">
        <v>531450.4</v>
      </c>
      <c r="I63" s="260">
        <f t="shared" si="0"/>
        <v>0</v>
      </c>
      <c r="J63" s="261">
        <v>531450.4</v>
      </c>
      <c r="K63" s="260">
        <v>531450.4</v>
      </c>
      <c r="L63" s="262">
        <f t="shared" si="1"/>
        <v>0</v>
      </c>
      <c r="M63" s="263">
        <v>531450.4</v>
      </c>
      <c r="N63" s="263">
        <f t="shared" si="2"/>
        <v>0</v>
      </c>
      <c r="O63" s="263"/>
      <c r="P63" s="263"/>
      <c r="Q63" s="263"/>
      <c r="R63" s="260"/>
      <c r="S63" s="260"/>
      <c r="T63" s="260"/>
      <c r="U63" s="260"/>
    </row>
    <row r="64" spans="1:21" ht="15" customHeight="1" x14ac:dyDescent="0.25">
      <c r="A64" s="270" t="s">
        <v>204</v>
      </c>
      <c r="B64" s="264" t="s">
        <v>663</v>
      </c>
      <c r="C64" s="270">
        <v>7433100090</v>
      </c>
      <c r="D64" s="264">
        <v>611</v>
      </c>
      <c r="E64" s="264"/>
      <c r="F64" s="275">
        <v>795930.97</v>
      </c>
      <c r="G64" s="259"/>
      <c r="H64" s="260">
        <v>68500286.530000001</v>
      </c>
      <c r="I64" s="260">
        <f t="shared" si="0"/>
        <v>0</v>
      </c>
      <c r="J64" s="261">
        <v>68500286.530000001</v>
      </c>
      <c r="K64" s="260">
        <v>68500286.530000001</v>
      </c>
      <c r="L64" s="262">
        <f t="shared" si="1"/>
        <v>0</v>
      </c>
      <c r="M64" s="263">
        <v>68500286.530000001</v>
      </c>
      <c r="N64" s="263">
        <f t="shared" si="2"/>
        <v>0</v>
      </c>
      <c r="O64" s="263"/>
      <c r="P64" s="263"/>
      <c r="Q64" s="263"/>
      <c r="R64" s="260"/>
      <c r="S64" s="260"/>
      <c r="T64" s="260"/>
      <c r="U64" s="260"/>
    </row>
    <row r="65" spans="1:36" ht="15" customHeight="1" x14ac:dyDescent="0.25">
      <c r="A65" s="270" t="s">
        <v>204</v>
      </c>
      <c r="B65" s="264" t="s">
        <v>663</v>
      </c>
      <c r="C65" s="270">
        <v>7433100090</v>
      </c>
      <c r="D65" s="264">
        <v>612</v>
      </c>
      <c r="E65" s="264"/>
      <c r="F65" s="275"/>
      <c r="G65" s="259"/>
      <c r="H65" s="260">
        <v>246726.7</v>
      </c>
      <c r="I65" s="260">
        <f t="shared" si="0"/>
        <v>0</v>
      </c>
      <c r="J65" s="260">
        <v>246726.7</v>
      </c>
      <c r="K65" s="260">
        <v>246726.7</v>
      </c>
      <c r="L65" s="262">
        <f t="shared" si="1"/>
        <v>0</v>
      </c>
      <c r="M65" s="263">
        <v>246726.7</v>
      </c>
      <c r="N65" s="263">
        <f t="shared" si="2"/>
        <v>0</v>
      </c>
      <c r="O65" s="263"/>
      <c r="P65" s="263"/>
      <c r="Q65" s="263"/>
      <c r="R65" s="260"/>
      <c r="S65" s="260"/>
      <c r="T65" s="260"/>
      <c r="U65" s="260"/>
    </row>
    <row r="66" spans="1:36" ht="15" customHeight="1" x14ac:dyDescent="0.25">
      <c r="A66" s="270" t="s">
        <v>204</v>
      </c>
      <c r="B66" s="264" t="s">
        <v>663</v>
      </c>
      <c r="C66" s="270">
        <v>7433100090</v>
      </c>
      <c r="D66" s="264">
        <v>621</v>
      </c>
      <c r="E66" s="264"/>
      <c r="F66" s="275"/>
      <c r="G66" s="259"/>
      <c r="H66" s="260">
        <v>52399533.909999996</v>
      </c>
      <c r="I66" s="260">
        <f t="shared" si="0"/>
        <v>0</v>
      </c>
      <c r="J66" s="261">
        <v>52399533.909999996</v>
      </c>
      <c r="K66" s="260">
        <v>52399533.909999996</v>
      </c>
      <c r="L66" s="262">
        <f t="shared" si="1"/>
        <v>0</v>
      </c>
      <c r="M66" s="263">
        <v>52399533.909999996</v>
      </c>
      <c r="N66" s="263">
        <f t="shared" si="2"/>
        <v>0</v>
      </c>
      <c r="O66" s="263"/>
      <c r="P66" s="263"/>
      <c r="Q66" s="263"/>
      <c r="R66" s="260"/>
      <c r="S66" s="260"/>
      <c r="T66" s="260"/>
      <c r="U66" s="260"/>
    </row>
    <row r="67" spans="1:36" ht="15" customHeight="1" x14ac:dyDescent="0.25">
      <c r="A67" s="270">
        <v>918</v>
      </c>
      <c r="B67" s="264" t="s">
        <v>663</v>
      </c>
      <c r="C67" s="270">
        <v>7433100090</v>
      </c>
      <c r="D67" s="264">
        <v>622</v>
      </c>
      <c r="E67" s="264"/>
      <c r="F67" s="275"/>
      <c r="G67" s="259"/>
      <c r="H67" s="260">
        <v>88292</v>
      </c>
      <c r="I67" s="260">
        <f t="shared" si="0"/>
        <v>0</v>
      </c>
      <c r="J67" s="260">
        <v>88292</v>
      </c>
      <c r="K67" s="260">
        <v>76568</v>
      </c>
      <c r="L67" s="262">
        <f t="shared" si="1"/>
        <v>11724</v>
      </c>
      <c r="M67" s="263">
        <v>76568</v>
      </c>
      <c r="N67" s="263">
        <f t="shared" si="2"/>
        <v>0</v>
      </c>
      <c r="O67" s="263"/>
      <c r="P67" s="263"/>
      <c r="Q67" s="263"/>
      <c r="R67" s="260"/>
      <c r="S67" s="260"/>
      <c r="T67" s="260"/>
      <c r="U67" s="260"/>
    </row>
    <row r="68" spans="1:36" ht="15" customHeight="1" x14ac:dyDescent="0.25">
      <c r="A68" s="270" t="s">
        <v>204</v>
      </c>
      <c r="B68" s="264" t="s">
        <v>663</v>
      </c>
      <c r="C68" s="270">
        <v>7433113060</v>
      </c>
      <c r="D68" s="264">
        <v>612</v>
      </c>
      <c r="E68" s="264"/>
      <c r="F68" s="275"/>
      <c r="G68" s="259"/>
      <c r="H68" s="260">
        <v>1906611.08</v>
      </c>
      <c r="I68" s="260">
        <f t="shared" si="0"/>
        <v>0</v>
      </c>
      <c r="J68" s="260">
        <v>1906611.08</v>
      </c>
      <c r="K68" s="260">
        <v>1889936.1</v>
      </c>
      <c r="L68" s="262">
        <f t="shared" si="1"/>
        <v>16674.979999999981</v>
      </c>
      <c r="M68" s="263">
        <v>1889936.1</v>
      </c>
      <c r="N68" s="263">
        <f t="shared" si="2"/>
        <v>0</v>
      </c>
      <c r="O68" s="263"/>
      <c r="P68" s="263"/>
      <c r="Q68" s="263"/>
      <c r="R68" s="260">
        <f>H68+H69</f>
        <v>3580872.8</v>
      </c>
      <c r="S68" s="260"/>
      <c r="T68" s="260"/>
      <c r="U68" s="260"/>
    </row>
    <row r="69" spans="1:36" ht="15" customHeight="1" x14ac:dyDescent="0.25">
      <c r="A69" s="270" t="s">
        <v>204</v>
      </c>
      <c r="B69" s="264" t="s">
        <v>663</v>
      </c>
      <c r="C69" s="270">
        <v>7433113060</v>
      </c>
      <c r="D69" s="264">
        <v>622</v>
      </c>
      <c r="E69" s="264"/>
      <c r="F69" s="275"/>
      <c r="G69" s="259"/>
      <c r="H69" s="260">
        <v>1674261.72</v>
      </c>
      <c r="I69" s="260">
        <f t="shared" si="0"/>
        <v>0</v>
      </c>
      <c r="J69" s="260">
        <v>1674261.72</v>
      </c>
      <c r="K69" s="260">
        <v>1674261.72</v>
      </c>
      <c r="L69" s="262">
        <f t="shared" si="1"/>
        <v>0</v>
      </c>
      <c r="M69" s="263">
        <v>1674261.72</v>
      </c>
      <c r="N69" s="263">
        <f t="shared" si="2"/>
        <v>0</v>
      </c>
      <c r="O69" s="263"/>
      <c r="P69" s="263"/>
      <c r="Q69" s="263"/>
      <c r="R69" s="261" t="s">
        <v>664</v>
      </c>
      <c r="S69" s="260"/>
      <c r="T69" s="260" t="s">
        <v>665</v>
      </c>
      <c r="U69" s="260"/>
      <c r="V69" s="247" t="s">
        <v>666</v>
      </c>
      <c r="W69" s="259"/>
      <c r="X69" s="259" t="s">
        <v>667</v>
      </c>
      <c r="Z69" s="247" t="s">
        <v>668</v>
      </c>
      <c r="AB69" s="247" t="s">
        <v>669</v>
      </c>
      <c r="AD69" s="247" t="s">
        <v>670</v>
      </c>
    </row>
    <row r="70" spans="1:36" ht="15" customHeight="1" x14ac:dyDescent="0.25">
      <c r="A70" s="270" t="s">
        <v>204</v>
      </c>
      <c r="B70" s="264" t="s">
        <v>663</v>
      </c>
      <c r="C70" s="270">
        <v>7433113070</v>
      </c>
      <c r="D70" s="264">
        <v>622</v>
      </c>
      <c r="E70" s="264"/>
      <c r="F70" s="275"/>
      <c r="G70" s="259"/>
      <c r="H70" s="260">
        <v>37460</v>
      </c>
      <c r="I70" s="260">
        <f t="shared" si="0"/>
        <v>0</v>
      </c>
      <c r="J70" s="260">
        <v>37460</v>
      </c>
      <c r="K70" s="260">
        <v>37460</v>
      </c>
      <c r="L70" s="262">
        <f t="shared" si="1"/>
        <v>0</v>
      </c>
      <c r="M70" s="263">
        <v>37460</v>
      </c>
      <c r="N70" s="263">
        <f t="shared" si="2"/>
        <v>0</v>
      </c>
      <c r="O70" s="263"/>
      <c r="P70" s="263"/>
      <c r="Q70" s="263"/>
      <c r="R70" s="261"/>
      <c r="S70" s="260"/>
      <c r="T70" s="260"/>
      <c r="U70" s="260"/>
      <c r="W70" s="259"/>
      <c r="X70" s="259"/>
    </row>
    <row r="71" spans="1:36" ht="15" customHeight="1" x14ac:dyDescent="0.25">
      <c r="A71" s="270" t="s">
        <v>204</v>
      </c>
      <c r="B71" s="264" t="s">
        <v>663</v>
      </c>
      <c r="C71" s="270">
        <v>7433129990</v>
      </c>
      <c r="D71" s="264">
        <v>633</v>
      </c>
      <c r="E71" s="264"/>
      <c r="F71" s="275"/>
      <c r="G71" s="259"/>
      <c r="H71" s="260">
        <v>13042337.4</v>
      </c>
      <c r="I71" s="260">
        <f t="shared" si="0"/>
        <v>0</v>
      </c>
      <c r="J71" s="261">
        <v>13042337.4</v>
      </c>
      <c r="K71" s="260">
        <v>13042337.4</v>
      </c>
      <c r="L71" s="262">
        <f t="shared" si="1"/>
        <v>0</v>
      </c>
      <c r="M71" s="263">
        <v>13042337.4</v>
      </c>
      <c r="N71" s="263">
        <f t="shared" si="2"/>
        <v>0</v>
      </c>
      <c r="O71" s="263"/>
      <c r="P71" s="273" t="s">
        <v>671</v>
      </c>
      <c r="Q71" s="273" t="s">
        <v>672</v>
      </c>
      <c r="R71" s="261" t="s">
        <v>671</v>
      </c>
      <c r="S71" s="260" t="s">
        <v>672</v>
      </c>
      <c r="T71" s="261" t="s">
        <v>671</v>
      </c>
      <c r="U71" s="260" t="s">
        <v>672</v>
      </c>
      <c r="V71" s="261" t="s">
        <v>671</v>
      </c>
      <c r="W71" s="260" t="s">
        <v>672</v>
      </c>
      <c r="X71" s="261" t="s">
        <v>671</v>
      </c>
      <c r="Y71" s="260" t="s">
        <v>672</v>
      </c>
      <c r="Z71" s="261" t="s">
        <v>671</v>
      </c>
      <c r="AA71" s="260" t="s">
        <v>672</v>
      </c>
      <c r="AB71" s="261" t="s">
        <v>671</v>
      </c>
      <c r="AC71" s="260" t="s">
        <v>672</v>
      </c>
      <c r="AD71" s="261" t="s">
        <v>671</v>
      </c>
      <c r="AE71" s="260" t="s">
        <v>672</v>
      </c>
    </row>
    <row r="72" spans="1:36" ht="15" customHeight="1" x14ac:dyDescent="0.25">
      <c r="A72" s="270">
        <v>918</v>
      </c>
      <c r="B72" s="264" t="s">
        <v>663</v>
      </c>
      <c r="C72" s="269">
        <v>7433171100</v>
      </c>
      <c r="D72" s="264">
        <v>611</v>
      </c>
      <c r="E72" s="264" t="s">
        <v>645</v>
      </c>
      <c r="F72" s="275">
        <v>303483784</v>
      </c>
      <c r="G72" s="259"/>
      <c r="H72" s="260">
        <v>14520595.57</v>
      </c>
      <c r="I72" s="260">
        <f t="shared" si="0"/>
        <v>0</v>
      </c>
      <c r="J72" s="261">
        <v>14520595.57</v>
      </c>
      <c r="K72" s="260">
        <v>14520595.57</v>
      </c>
      <c r="L72" s="262">
        <f t="shared" si="1"/>
        <v>0</v>
      </c>
      <c r="M72" s="263">
        <v>14520595.57</v>
      </c>
      <c r="N72" s="263">
        <f t="shared" si="2"/>
        <v>0</v>
      </c>
      <c r="O72" s="263">
        <f t="shared" ref="O72:O77" si="3">P72+Q72</f>
        <v>14520595.57</v>
      </c>
      <c r="P72" s="263">
        <f>X72+Z72+AB72+AD72</f>
        <v>7817775.7800000003</v>
      </c>
      <c r="Q72" s="263">
        <f>Y72+AA72+AC72+AE72</f>
        <v>6702819.790000001</v>
      </c>
      <c r="R72" s="260"/>
      <c r="S72" s="260"/>
      <c r="T72" s="260"/>
      <c r="U72" s="260"/>
      <c r="V72" s="260"/>
      <c r="W72" s="260"/>
      <c r="X72" s="260">
        <f>1010390.47+1316086.87</f>
        <v>2326477.34</v>
      </c>
      <c r="Y72" s="276">
        <v>3615909</v>
      </c>
      <c r="Z72" s="260">
        <v>1184402.1599999999</v>
      </c>
      <c r="AA72" s="276">
        <v>528179.91</v>
      </c>
      <c r="AB72" s="260">
        <f>673593.65+1698918.66</f>
        <v>2372512.31</v>
      </c>
      <c r="AC72" s="276">
        <v>922863.65</v>
      </c>
      <c r="AD72" s="260">
        <f>785859.26+1148524.71</f>
        <v>1934383.97</v>
      </c>
      <c r="AE72" s="276">
        <v>1635867.23</v>
      </c>
      <c r="AF72" s="260"/>
      <c r="AG72" s="260"/>
      <c r="AH72" s="260"/>
      <c r="AI72" s="260"/>
    </row>
    <row r="73" spans="1:36" ht="15" customHeight="1" x14ac:dyDescent="0.25">
      <c r="A73" s="270">
        <v>918</v>
      </c>
      <c r="B73" s="264" t="s">
        <v>663</v>
      </c>
      <c r="C73" s="269">
        <v>7433171100</v>
      </c>
      <c r="D73" s="264">
        <v>621</v>
      </c>
      <c r="E73" s="264" t="s">
        <v>645</v>
      </c>
      <c r="F73" s="275">
        <v>78702961.760000005</v>
      </c>
      <c r="G73" s="259"/>
      <c r="H73" s="260">
        <v>12402301.98</v>
      </c>
      <c r="I73" s="260">
        <f t="shared" si="0"/>
        <v>0</v>
      </c>
      <c r="J73" s="261">
        <v>12402301.98</v>
      </c>
      <c r="K73" s="260">
        <v>12402301.98</v>
      </c>
      <c r="L73" s="262">
        <f t="shared" si="1"/>
        <v>0</v>
      </c>
      <c r="M73" s="263">
        <v>12402301.98</v>
      </c>
      <c r="N73" s="263">
        <f t="shared" si="2"/>
        <v>0</v>
      </c>
      <c r="O73" s="263">
        <f t="shared" si="3"/>
        <v>12402301.98</v>
      </c>
      <c r="P73" s="263">
        <f>R73+T73+V73</f>
        <v>5934459.96</v>
      </c>
      <c r="Q73" s="263">
        <f>S73+U73+W73</f>
        <v>6467842.0199999996</v>
      </c>
      <c r="R73" s="260">
        <f>1010390.47+1353232.97</f>
        <v>2363623.44</v>
      </c>
      <c r="S73" s="276">
        <f>2751015.18+620568.69</f>
        <v>3371583.87</v>
      </c>
      <c r="T73" s="260">
        <f>1515585.71+1064716.28</f>
        <v>2580301.9900000002</v>
      </c>
      <c r="U73" s="276">
        <v>2809793.07</v>
      </c>
      <c r="V73" s="260">
        <f>280664.02+709870.51</f>
        <v>990534.53</v>
      </c>
      <c r="W73" s="276">
        <v>286465.08</v>
      </c>
      <c r="X73" s="260"/>
      <c r="Y73" s="276"/>
      <c r="Z73" s="260"/>
      <c r="AA73" s="276"/>
      <c r="AB73" s="260"/>
      <c r="AC73" s="276"/>
      <c r="AD73" s="260"/>
      <c r="AE73" s="276"/>
      <c r="AF73" s="260"/>
      <c r="AG73" s="260"/>
      <c r="AH73" s="260"/>
      <c r="AI73" s="260"/>
      <c r="AJ73" s="260"/>
    </row>
    <row r="74" spans="1:36" ht="15" customHeight="1" x14ac:dyDescent="0.25">
      <c r="A74" s="270" t="s">
        <v>204</v>
      </c>
      <c r="B74" s="264" t="s">
        <v>663</v>
      </c>
      <c r="C74" s="270" t="s">
        <v>258</v>
      </c>
      <c r="D74" s="264">
        <v>611</v>
      </c>
      <c r="E74" s="264"/>
      <c r="F74" s="265"/>
      <c r="G74" s="259"/>
      <c r="H74" s="260">
        <v>1177345.58</v>
      </c>
      <c r="I74" s="260">
        <f t="shared" si="0"/>
        <v>0</v>
      </c>
      <c r="J74" s="261">
        <v>1177345.58</v>
      </c>
      <c r="K74" s="260">
        <v>1177345.58</v>
      </c>
      <c r="L74" s="262">
        <f t="shared" si="1"/>
        <v>0</v>
      </c>
      <c r="M74" s="263">
        <v>1177345.58</v>
      </c>
      <c r="N74" s="263">
        <f t="shared" si="2"/>
        <v>0</v>
      </c>
      <c r="O74" s="263">
        <f t="shared" si="3"/>
        <v>1177345.58</v>
      </c>
      <c r="P74" s="263">
        <f>X74+Z74+AB74+AD74</f>
        <v>633873.71</v>
      </c>
      <c r="Q74" s="263">
        <f>Y74+AA74+AC74+AE74</f>
        <v>543471.87</v>
      </c>
      <c r="R74" s="260"/>
      <c r="S74" s="276"/>
      <c r="T74" s="260"/>
      <c r="U74" s="276"/>
      <c r="V74" s="260"/>
      <c r="W74" s="276"/>
      <c r="X74" s="260">
        <f>81923.55+106709.75</f>
        <v>188633.3</v>
      </c>
      <c r="Y74" s="276">
        <v>293181.81</v>
      </c>
      <c r="Z74" s="260">
        <v>96032.61</v>
      </c>
      <c r="AA74" s="276">
        <v>42825.4</v>
      </c>
      <c r="AB74" s="260">
        <f>54615.7+137750.16</f>
        <v>192365.86</v>
      </c>
      <c r="AC74" s="276">
        <v>74826.78</v>
      </c>
      <c r="AD74" s="260">
        <f>63718.32+93123.62</f>
        <v>156841.94</v>
      </c>
      <c r="AE74" s="276">
        <v>132637.88</v>
      </c>
      <c r="AF74" s="260"/>
      <c r="AG74" s="260"/>
      <c r="AH74" s="260"/>
      <c r="AI74" s="260"/>
      <c r="AJ74" s="260"/>
    </row>
    <row r="75" spans="1:36" ht="15" customHeight="1" x14ac:dyDescent="0.25">
      <c r="A75" s="270" t="s">
        <v>204</v>
      </c>
      <c r="B75" s="264" t="s">
        <v>663</v>
      </c>
      <c r="C75" s="270" t="s">
        <v>258</v>
      </c>
      <c r="D75" s="264">
        <v>621</v>
      </c>
      <c r="E75" s="264"/>
      <c r="F75" s="265"/>
      <c r="G75" s="259"/>
      <c r="H75" s="260">
        <v>1005592.05</v>
      </c>
      <c r="I75" s="260">
        <f t="shared" si="0"/>
        <v>0</v>
      </c>
      <c r="J75" s="261">
        <v>1005592.05</v>
      </c>
      <c r="K75" s="260">
        <v>1005592.05</v>
      </c>
      <c r="L75" s="262">
        <f t="shared" si="1"/>
        <v>0</v>
      </c>
      <c r="M75" s="263">
        <v>1005592.05</v>
      </c>
      <c r="N75" s="263">
        <f t="shared" si="2"/>
        <v>0</v>
      </c>
      <c r="O75" s="263">
        <f t="shared" si="3"/>
        <v>1005592.05</v>
      </c>
      <c r="P75" s="263">
        <f>R75+T75+V75</f>
        <v>481172.43000000005</v>
      </c>
      <c r="Q75" s="263">
        <f>S75+U75+W75</f>
        <v>524419.62</v>
      </c>
      <c r="R75" s="260">
        <f>81923.55+109721.6</f>
        <v>191645.15000000002</v>
      </c>
      <c r="S75" s="276">
        <f>223055.28+50316.38</f>
        <v>273371.65999999997</v>
      </c>
      <c r="T75" s="260">
        <f>122885.33+86328.35</f>
        <v>209213.68</v>
      </c>
      <c r="U75" s="276">
        <v>227821.06</v>
      </c>
      <c r="V75" s="260">
        <f>22756.54+57557.06</f>
        <v>80313.600000000006</v>
      </c>
      <c r="W75" s="276">
        <v>23226.9</v>
      </c>
      <c r="X75" s="260"/>
      <c r="Y75" s="276"/>
      <c r="Z75" s="260"/>
      <c r="AA75" s="276"/>
      <c r="AB75" s="260"/>
      <c r="AC75" s="276"/>
      <c r="AD75" s="260"/>
      <c r="AE75" s="276"/>
      <c r="AF75" s="260"/>
      <c r="AG75" s="260"/>
      <c r="AH75" s="260"/>
      <c r="AI75" s="260"/>
      <c r="AJ75" s="260"/>
    </row>
    <row r="76" spans="1:36" ht="15" customHeight="1" x14ac:dyDescent="0.25">
      <c r="A76" s="270" t="s">
        <v>204</v>
      </c>
      <c r="B76" s="264" t="s">
        <v>663</v>
      </c>
      <c r="C76" s="270" t="s">
        <v>673</v>
      </c>
      <c r="D76" s="264">
        <v>611</v>
      </c>
      <c r="E76" s="264"/>
      <c r="F76" s="265"/>
      <c r="G76" s="259"/>
      <c r="H76" s="260">
        <v>59544644.659999996</v>
      </c>
      <c r="I76" s="260">
        <f t="shared" si="0"/>
        <v>0</v>
      </c>
      <c r="J76" s="261">
        <v>59544644.659999996</v>
      </c>
      <c r="K76" s="260">
        <v>59544644.659999996</v>
      </c>
      <c r="L76" s="262">
        <f t="shared" si="1"/>
        <v>0</v>
      </c>
      <c r="M76" s="263">
        <v>59544644.659999996</v>
      </c>
      <c r="N76" s="263">
        <f t="shared" si="2"/>
        <v>0</v>
      </c>
      <c r="O76" s="263">
        <f t="shared" si="3"/>
        <v>59544644.659999996</v>
      </c>
      <c r="P76" s="263">
        <f>X76+Z76+AB76+AD76</f>
        <v>55740994.07</v>
      </c>
      <c r="Q76" s="263">
        <f>Y76+AA76+AC76+AE76</f>
        <v>3803650.59</v>
      </c>
      <c r="R76" s="260"/>
      <c r="S76" s="276"/>
      <c r="T76" s="260"/>
      <c r="U76" s="276"/>
      <c r="V76" s="260"/>
      <c r="W76" s="276"/>
      <c r="X76" s="260">
        <f>15148151.71+1351436.94-106709.75-1125707.32</f>
        <v>15267171.58</v>
      </c>
      <c r="Y76" s="276">
        <f>2255267.36</f>
        <v>2255267.36</v>
      </c>
      <c r="Z76" s="260">
        <v>18234190.300000001</v>
      </c>
      <c r="AA76" s="276">
        <v>242309.92</v>
      </c>
      <c r="AB76" s="260">
        <f>10739438.61+900957.96-137750.16-589642.43</f>
        <v>10913003.98</v>
      </c>
      <c r="AC76" s="276">
        <v>839457.28000000003</v>
      </c>
      <c r="AD76" s="260">
        <f>12243382.44-93123.62-823630.61</f>
        <v>11326628.210000001</v>
      </c>
      <c r="AE76" s="276">
        <v>466616.03</v>
      </c>
      <c r="AF76" s="260"/>
      <c r="AG76" s="260"/>
      <c r="AH76" s="260"/>
      <c r="AI76" s="260"/>
      <c r="AJ76" s="260"/>
    </row>
    <row r="77" spans="1:36" ht="15" customHeight="1" x14ac:dyDescent="0.25">
      <c r="A77" s="267" t="s">
        <v>204</v>
      </c>
      <c r="B77" s="264" t="s">
        <v>663</v>
      </c>
      <c r="C77" s="267" t="s">
        <v>673</v>
      </c>
      <c r="D77" s="264">
        <v>621</v>
      </c>
      <c r="E77" s="264"/>
      <c r="F77" s="265"/>
      <c r="G77" s="259"/>
      <c r="H77" s="260">
        <v>45177660.950000003</v>
      </c>
      <c r="I77" s="260">
        <f t="shared" si="0"/>
        <v>0</v>
      </c>
      <c r="J77" s="261">
        <v>45177660.950000003</v>
      </c>
      <c r="K77" s="260">
        <v>45177660.950000003</v>
      </c>
      <c r="L77" s="262">
        <f t="shared" si="1"/>
        <v>0</v>
      </c>
      <c r="M77" s="263">
        <v>45177660.950000003</v>
      </c>
      <c r="N77" s="263">
        <f t="shared" si="2"/>
        <v>0</v>
      </c>
      <c r="O77" s="263">
        <f t="shared" si="3"/>
        <v>45177660.950000003</v>
      </c>
      <c r="P77" s="263">
        <f>R77+T77+V77</f>
        <v>42259820.150000006</v>
      </c>
      <c r="Q77" s="263">
        <f>S77+U77+W77</f>
        <v>2917840.8000000003</v>
      </c>
      <c r="R77" s="260">
        <f>16038719.71+1690585.92-160037.98-944481.6</f>
        <v>16624786.050000003</v>
      </c>
      <c r="S77" s="276">
        <f>2145625.97-510183.79</f>
        <v>1635442.1800000002</v>
      </c>
      <c r="T77" s="260">
        <f>23830750.37-86328.35-1597783.13</f>
        <v>22146638.890000001</v>
      </c>
      <c r="U77" s="276">
        <v>1171587.6399999999</v>
      </c>
      <c r="V77" s="260">
        <f>3834724.59-57557.06-288772.32</f>
        <v>3488395.21</v>
      </c>
      <c r="W77" s="276">
        <v>110810.98</v>
      </c>
      <c r="X77" s="260"/>
      <c r="Y77" s="276"/>
      <c r="Z77" s="260"/>
      <c r="AA77" s="276"/>
      <c r="AB77" s="260"/>
      <c r="AC77" s="276"/>
      <c r="AD77" s="260"/>
      <c r="AE77" s="276"/>
      <c r="AF77" s="260"/>
      <c r="AG77" s="260"/>
      <c r="AH77" s="260"/>
      <c r="AI77" s="260"/>
      <c r="AJ77" s="260"/>
    </row>
    <row r="78" spans="1:36" ht="15" customHeight="1" x14ac:dyDescent="0.25">
      <c r="A78" s="272">
        <v>918</v>
      </c>
      <c r="B78" s="264" t="s">
        <v>663</v>
      </c>
      <c r="C78" s="267">
        <v>7433320090</v>
      </c>
      <c r="D78" s="264">
        <v>622</v>
      </c>
      <c r="E78" s="264"/>
      <c r="F78" s="265"/>
      <c r="G78" s="259"/>
      <c r="H78" s="260">
        <v>840000</v>
      </c>
      <c r="I78" s="260">
        <f t="shared" si="0"/>
        <v>0</v>
      </c>
      <c r="J78" s="261">
        <v>840000</v>
      </c>
      <c r="K78" s="260">
        <v>840000</v>
      </c>
      <c r="L78" s="262">
        <f t="shared" si="1"/>
        <v>0</v>
      </c>
      <c r="M78" s="263">
        <v>840000</v>
      </c>
      <c r="N78" s="263">
        <f t="shared" si="2"/>
        <v>0</v>
      </c>
      <c r="O78" s="263"/>
      <c r="P78" s="263"/>
      <c r="Q78" s="263"/>
      <c r="R78" s="260"/>
      <c r="S78" s="276"/>
      <c r="T78" s="260"/>
      <c r="U78" s="276"/>
      <c r="V78" s="260"/>
      <c r="W78" s="276"/>
      <c r="X78" s="260"/>
      <c r="Y78" s="276"/>
      <c r="Z78" s="260"/>
      <c r="AA78" s="276"/>
      <c r="AB78" s="260"/>
      <c r="AC78" s="276"/>
      <c r="AD78" s="260"/>
      <c r="AE78" s="276"/>
      <c r="AF78" s="260"/>
      <c r="AG78" s="260"/>
      <c r="AH78" s="260"/>
      <c r="AI78" s="260"/>
      <c r="AJ78" s="260"/>
    </row>
    <row r="79" spans="1:36" ht="15" customHeight="1" x14ac:dyDescent="0.25">
      <c r="A79" s="272">
        <v>918</v>
      </c>
      <c r="B79" s="264" t="s">
        <v>663</v>
      </c>
      <c r="C79" s="267">
        <v>7433329990</v>
      </c>
      <c r="D79" s="264">
        <v>612</v>
      </c>
      <c r="E79" s="264"/>
      <c r="F79" s="265"/>
      <c r="G79" s="259"/>
      <c r="H79" s="260">
        <v>350000</v>
      </c>
      <c r="I79" s="260">
        <f t="shared" si="0"/>
        <v>0</v>
      </c>
      <c r="J79" s="261">
        <v>350000</v>
      </c>
      <c r="K79" s="260">
        <v>350000</v>
      </c>
      <c r="L79" s="262">
        <f t="shared" si="1"/>
        <v>0</v>
      </c>
      <c r="M79" s="263">
        <v>350000</v>
      </c>
      <c r="N79" s="263">
        <f t="shared" si="2"/>
        <v>0</v>
      </c>
      <c r="O79" s="263"/>
      <c r="P79" s="263"/>
      <c r="Q79" s="263"/>
      <c r="R79" s="260"/>
      <c r="S79" s="276"/>
      <c r="T79" s="260"/>
      <c r="U79" s="276"/>
      <c r="V79" s="260"/>
      <c r="W79" s="276"/>
      <c r="X79" s="260"/>
      <c r="Y79" s="276"/>
      <c r="Z79" s="260"/>
      <c r="AA79" s="276"/>
      <c r="AB79" s="260"/>
      <c r="AC79" s="276"/>
      <c r="AD79" s="260"/>
      <c r="AE79" s="276"/>
      <c r="AF79" s="260"/>
      <c r="AG79" s="260"/>
      <c r="AH79" s="260"/>
      <c r="AI79" s="260"/>
      <c r="AJ79" s="260"/>
    </row>
    <row r="80" spans="1:36" ht="15" customHeight="1" x14ac:dyDescent="0.25">
      <c r="A80" s="267" t="s">
        <v>204</v>
      </c>
      <c r="B80" s="264" t="s">
        <v>663</v>
      </c>
      <c r="C80" s="269">
        <v>8522270640</v>
      </c>
      <c r="D80" s="264">
        <v>612</v>
      </c>
      <c r="E80" s="264" t="s">
        <v>674</v>
      </c>
      <c r="F80" s="265"/>
      <c r="G80" s="259"/>
      <c r="H80" s="260">
        <v>25000000</v>
      </c>
      <c r="I80" s="260">
        <f t="shared" si="0"/>
        <v>0</v>
      </c>
      <c r="J80" s="261">
        <v>25000000</v>
      </c>
      <c r="K80" s="260">
        <v>17537297</v>
      </c>
      <c r="L80" s="262">
        <f t="shared" si="1"/>
        <v>7462703</v>
      </c>
      <c r="M80" s="263">
        <v>17537297</v>
      </c>
      <c r="N80" s="263">
        <f t="shared" si="2"/>
        <v>0</v>
      </c>
      <c r="O80" s="263"/>
      <c r="P80" s="263"/>
      <c r="Q80" s="263"/>
      <c r="R80" s="260"/>
      <c r="S80" s="260"/>
      <c r="T80" s="260"/>
      <c r="U80" s="260"/>
      <c r="V80" s="260"/>
      <c r="W80" s="260"/>
      <c r="X80" s="260"/>
      <c r="Y80" s="260"/>
      <c r="Z80" s="260"/>
      <c r="AA80" s="260"/>
      <c r="AB80" s="260"/>
      <c r="AC80" s="260"/>
      <c r="AD80" s="260"/>
      <c r="AE80" s="260"/>
      <c r="AF80" s="260"/>
      <c r="AG80" s="260"/>
      <c r="AH80" s="260"/>
      <c r="AI80" s="260"/>
      <c r="AJ80" s="260"/>
    </row>
    <row r="81" spans="1:25" ht="15" customHeight="1" x14ac:dyDescent="0.25">
      <c r="A81" s="267" t="s">
        <v>204</v>
      </c>
      <c r="B81" s="264" t="s">
        <v>663</v>
      </c>
      <c r="C81" s="267" t="s">
        <v>393</v>
      </c>
      <c r="D81" s="264">
        <v>612</v>
      </c>
      <c r="E81" s="264"/>
      <c r="F81" s="265"/>
      <c r="G81" s="259"/>
      <c r="H81" s="260">
        <v>2027030</v>
      </c>
      <c r="I81" s="260">
        <f t="shared" si="0"/>
        <v>0</v>
      </c>
      <c r="J81" s="260">
        <v>2027030</v>
      </c>
      <c r="K81" s="260">
        <v>1421943</v>
      </c>
      <c r="L81" s="262">
        <f t="shared" si="1"/>
        <v>605087</v>
      </c>
      <c r="M81" s="263">
        <v>1421943</v>
      </c>
      <c r="N81" s="263">
        <f t="shared" si="2"/>
        <v>0</v>
      </c>
      <c r="O81" s="263"/>
      <c r="P81" s="263">
        <f>P72+P73</f>
        <v>13752235.74</v>
      </c>
      <c r="Q81" s="263"/>
      <c r="R81" s="260"/>
      <c r="S81" s="260"/>
      <c r="T81" s="260"/>
      <c r="U81" s="260"/>
    </row>
    <row r="82" spans="1:25" ht="15" customHeight="1" x14ac:dyDescent="0.25">
      <c r="A82" s="267" t="s">
        <v>204</v>
      </c>
      <c r="B82" s="264" t="s">
        <v>663</v>
      </c>
      <c r="C82" s="269" t="s">
        <v>391</v>
      </c>
      <c r="D82" s="264">
        <v>622</v>
      </c>
      <c r="E82" s="264" t="s">
        <v>675</v>
      </c>
      <c r="F82" s="265"/>
      <c r="G82" s="259"/>
      <c r="H82" s="260">
        <v>2100366.66</v>
      </c>
      <c r="I82" s="260">
        <f t="shared" si="0"/>
        <v>0</v>
      </c>
      <c r="J82" s="260">
        <v>2100366.66</v>
      </c>
      <c r="K82" s="260">
        <v>0</v>
      </c>
      <c r="L82" s="262">
        <f t="shared" si="1"/>
        <v>2100366.66</v>
      </c>
      <c r="M82" s="263">
        <v>0</v>
      </c>
      <c r="N82" s="263">
        <f t="shared" si="2"/>
        <v>0</v>
      </c>
      <c r="O82" s="263"/>
      <c r="P82" s="263"/>
      <c r="Q82" s="263"/>
      <c r="R82" s="260"/>
      <c r="S82" s="260"/>
      <c r="T82" s="260"/>
      <c r="U82" s="260"/>
    </row>
    <row r="83" spans="1:25" ht="15" customHeight="1" x14ac:dyDescent="0.25">
      <c r="A83" s="267" t="s">
        <v>204</v>
      </c>
      <c r="B83" s="264" t="s">
        <v>663</v>
      </c>
      <c r="C83" s="267" t="s">
        <v>395</v>
      </c>
      <c r="D83" s="264">
        <v>622</v>
      </c>
      <c r="E83" s="264"/>
      <c r="F83" s="265"/>
      <c r="G83" s="259"/>
      <c r="H83" s="260">
        <v>170267.57</v>
      </c>
      <c r="I83" s="260">
        <f t="shared" si="0"/>
        <v>0</v>
      </c>
      <c r="J83" s="260">
        <v>170267.57</v>
      </c>
      <c r="K83" s="260">
        <v>0</v>
      </c>
      <c r="L83" s="262">
        <f t="shared" si="1"/>
        <v>170267.57</v>
      </c>
      <c r="M83" s="263">
        <v>0</v>
      </c>
      <c r="N83" s="263">
        <f t="shared" si="2"/>
        <v>0</v>
      </c>
      <c r="O83" s="263"/>
      <c r="P83" s="263"/>
      <c r="Q83" s="263"/>
      <c r="R83" s="260"/>
      <c r="S83" s="260"/>
      <c r="T83" s="260"/>
      <c r="U83" s="260"/>
    </row>
    <row r="84" spans="1:25" ht="15" customHeight="1" x14ac:dyDescent="0.25">
      <c r="A84" s="267" t="s">
        <v>204</v>
      </c>
      <c r="B84" s="268" t="s">
        <v>676</v>
      </c>
      <c r="C84" s="264">
        <v>7411120080</v>
      </c>
      <c r="D84" s="264" t="s">
        <v>677</v>
      </c>
      <c r="E84" s="264"/>
      <c r="F84" s="265">
        <v>178011429.08000001</v>
      </c>
      <c r="G84" s="259"/>
      <c r="H84" s="260">
        <v>196005</v>
      </c>
      <c r="I84" s="260">
        <f t="shared" si="0"/>
        <v>0</v>
      </c>
      <c r="J84" s="261">
        <v>196005</v>
      </c>
      <c r="K84" s="260">
        <v>196005</v>
      </c>
      <c r="L84" s="262">
        <f t="shared" si="1"/>
        <v>0</v>
      </c>
      <c r="M84" s="263">
        <v>196005</v>
      </c>
      <c r="N84" s="263">
        <f t="shared" si="2"/>
        <v>0</v>
      </c>
      <c r="O84" s="263"/>
      <c r="P84" s="263"/>
      <c r="Q84" s="263"/>
      <c r="R84" s="260"/>
      <c r="S84" s="260"/>
      <c r="T84" s="260"/>
      <c r="U84" s="260"/>
    </row>
    <row r="85" spans="1:25" ht="15" customHeight="1" x14ac:dyDescent="0.25">
      <c r="A85" s="267" t="s">
        <v>204</v>
      </c>
      <c r="B85" s="268" t="s">
        <v>676</v>
      </c>
      <c r="C85" s="264">
        <v>7411120080</v>
      </c>
      <c r="D85" s="264">
        <v>621</v>
      </c>
      <c r="E85" s="264"/>
      <c r="F85" s="265">
        <v>44730429.460000001</v>
      </c>
      <c r="G85" s="259"/>
      <c r="H85" s="260">
        <v>53280</v>
      </c>
      <c r="I85" s="260">
        <f t="shared" si="0"/>
        <v>0</v>
      </c>
      <c r="J85" s="261">
        <v>53280</v>
      </c>
      <c r="K85" s="260">
        <v>53280</v>
      </c>
      <c r="L85" s="262">
        <f t="shared" si="1"/>
        <v>0</v>
      </c>
      <c r="M85" s="263">
        <v>53280</v>
      </c>
      <c r="N85" s="263">
        <f t="shared" si="2"/>
        <v>0</v>
      </c>
      <c r="O85" s="263"/>
      <c r="P85" s="263"/>
      <c r="Q85" s="263"/>
      <c r="R85" s="260"/>
      <c r="S85" s="260"/>
      <c r="T85" s="260"/>
      <c r="U85" s="260"/>
    </row>
    <row r="86" spans="1:25" ht="15" customHeight="1" x14ac:dyDescent="0.25">
      <c r="A86" s="267" t="s">
        <v>204</v>
      </c>
      <c r="B86" s="268" t="s">
        <v>676</v>
      </c>
      <c r="C86" s="269">
        <v>7411175310</v>
      </c>
      <c r="D86" s="264">
        <v>611</v>
      </c>
      <c r="E86" s="264"/>
      <c r="F86" s="265"/>
      <c r="G86" s="260"/>
      <c r="H86" s="260">
        <v>288166</v>
      </c>
      <c r="I86" s="260">
        <f t="shared" si="0"/>
        <v>0</v>
      </c>
      <c r="J86" s="261">
        <v>288166</v>
      </c>
      <c r="K86" s="260">
        <v>288166</v>
      </c>
      <c r="L86" s="262">
        <f t="shared" si="1"/>
        <v>0</v>
      </c>
      <c r="M86" s="263">
        <v>288166</v>
      </c>
      <c r="N86" s="263">
        <f t="shared" si="2"/>
        <v>0</v>
      </c>
      <c r="O86" s="263"/>
      <c r="P86" s="263"/>
      <c r="Q86" s="263"/>
      <c r="R86" s="260"/>
      <c r="S86" s="260"/>
      <c r="T86" s="260"/>
      <c r="U86" s="260"/>
      <c r="V86" s="260"/>
      <c r="W86" s="260"/>
      <c r="X86" s="260"/>
      <c r="Y86" s="260"/>
    </row>
    <row r="87" spans="1:25" ht="15" customHeight="1" x14ac:dyDescent="0.25">
      <c r="A87" s="267" t="s">
        <v>204</v>
      </c>
      <c r="B87" s="268" t="s">
        <v>676</v>
      </c>
      <c r="C87" s="269">
        <v>7411175310</v>
      </c>
      <c r="D87" s="264">
        <v>621</v>
      </c>
      <c r="E87" s="264"/>
      <c r="F87" s="265"/>
      <c r="G87" s="260"/>
      <c r="H87" s="260">
        <v>54357</v>
      </c>
      <c r="I87" s="260">
        <f t="shared" si="0"/>
        <v>0</v>
      </c>
      <c r="J87" s="261">
        <v>54357</v>
      </c>
      <c r="K87" s="260">
        <v>54357</v>
      </c>
      <c r="L87" s="262">
        <f t="shared" si="1"/>
        <v>0</v>
      </c>
      <c r="M87" s="263">
        <v>54357</v>
      </c>
      <c r="N87" s="263">
        <f t="shared" si="2"/>
        <v>0</v>
      </c>
      <c r="O87" s="263"/>
      <c r="P87" s="263"/>
      <c r="Q87" s="263"/>
      <c r="R87" s="260"/>
      <c r="S87" s="260"/>
      <c r="T87" s="260"/>
      <c r="U87" s="260"/>
      <c r="V87" s="260"/>
      <c r="W87" s="260"/>
      <c r="X87" s="260"/>
      <c r="Y87" s="260"/>
    </row>
    <row r="88" spans="1:25" ht="15" customHeight="1" x14ac:dyDescent="0.25">
      <c r="A88" s="267" t="s">
        <v>204</v>
      </c>
      <c r="B88" s="268" t="s">
        <v>676</v>
      </c>
      <c r="C88" s="264">
        <v>7422120080</v>
      </c>
      <c r="D88" s="264">
        <v>611</v>
      </c>
      <c r="E88" s="264"/>
      <c r="F88" s="265"/>
      <c r="G88" s="260"/>
      <c r="H88" s="260">
        <v>65800</v>
      </c>
      <c r="I88" s="260">
        <f t="shared" si="0"/>
        <v>0</v>
      </c>
      <c r="J88" s="261">
        <v>65800</v>
      </c>
      <c r="K88" s="260">
        <v>65800</v>
      </c>
      <c r="L88" s="262">
        <f t="shared" si="1"/>
        <v>0</v>
      </c>
      <c r="M88" s="263">
        <v>65800</v>
      </c>
      <c r="N88" s="263">
        <f t="shared" si="2"/>
        <v>0</v>
      </c>
      <c r="O88" s="263"/>
      <c r="P88" s="263">
        <f>H71-K71</f>
        <v>0</v>
      </c>
      <c r="Q88" s="263"/>
      <c r="R88" s="260"/>
      <c r="S88" s="260"/>
      <c r="T88" s="260"/>
      <c r="U88" s="260"/>
    </row>
    <row r="89" spans="1:25" ht="15" customHeight="1" x14ac:dyDescent="0.25">
      <c r="A89" s="267" t="s">
        <v>204</v>
      </c>
      <c r="B89" s="268" t="s">
        <v>676</v>
      </c>
      <c r="C89" s="264">
        <v>7422120080</v>
      </c>
      <c r="D89" s="264">
        <v>621</v>
      </c>
      <c r="E89" s="264"/>
      <c r="F89" s="265"/>
      <c r="G89" s="260"/>
      <c r="H89" s="260">
        <v>187520</v>
      </c>
      <c r="I89" s="260">
        <f t="shared" si="0"/>
        <v>0</v>
      </c>
      <c r="J89" s="261">
        <v>187520</v>
      </c>
      <c r="K89" s="260">
        <v>187520</v>
      </c>
      <c r="L89" s="262">
        <f t="shared" si="1"/>
        <v>0</v>
      </c>
      <c r="M89" s="263">
        <v>187520</v>
      </c>
      <c r="N89" s="263">
        <f t="shared" si="2"/>
        <v>0</v>
      </c>
      <c r="O89" s="263"/>
      <c r="P89" s="263">
        <f>6457399+129147.98</f>
        <v>6586546.9800000004</v>
      </c>
      <c r="Q89" s="263"/>
      <c r="R89" s="260"/>
      <c r="S89" s="260"/>
      <c r="T89" s="260"/>
      <c r="U89" s="260"/>
    </row>
    <row r="90" spans="1:25" ht="15" customHeight="1" x14ac:dyDescent="0.25">
      <c r="A90" s="267" t="s">
        <v>204</v>
      </c>
      <c r="B90" s="268" t="s">
        <v>676</v>
      </c>
      <c r="C90" s="269">
        <v>7422175310</v>
      </c>
      <c r="D90" s="264">
        <v>621</v>
      </c>
      <c r="E90" s="264"/>
      <c r="F90" s="265"/>
      <c r="G90" s="260"/>
      <c r="H90" s="260">
        <v>79790</v>
      </c>
      <c r="I90" s="260">
        <f t="shared" si="0"/>
        <v>0</v>
      </c>
      <c r="J90" s="261">
        <v>79790</v>
      </c>
      <c r="K90" s="260">
        <v>79790</v>
      </c>
      <c r="L90" s="262">
        <f t="shared" si="1"/>
        <v>0</v>
      </c>
      <c r="M90" s="263">
        <v>79790</v>
      </c>
      <c r="N90" s="263">
        <f t="shared" si="2"/>
        <v>0</v>
      </c>
      <c r="O90" s="263"/>
      <c r="P90" s="263">
        <f>P88-P89</f>
        <v>-6586546.9800000004</v>
      </c>
      <c r="Q90" s="263"/>
      <c r="R90" s="260"/>
      <c r="S90" s="260"/>
      <c r="T90" s="260"/>
      <c r="U90" s="260"/>
    </row>
    <row r="91" spans="1:25" ht="15" customHeight="1" x14ac:dyDescent="0.25">
      <c r="A91" s="270" t="s">
        <v>204</v>
      </c>
      <c r="B91" s="268" t="s">
        <v>676</v>
      </c>
      <c r="C91" s="264">
        <v>7433120080</v>
      </c>
      <c r="D91" s="264">
        <v>611</v>
      </c>
      <c r="E91" s="264"/>
      <c r="F91" s="265"/>
      <c r="G91" s="260"/>
      <c r="H91" s="260">
        <v>85680</v>
      </c>
      <c r="I91" s="260">
        <f t="shared" si="0"/>
        <v>0</v>
      </c>
      <c r="J91" s="261">
        <v>85680</v>
      </c>
      <c r="K91" s="260">
        <v>85680</v>
      </c>
      <c r="L91" s="262">
        <f t="shared" si="1"/>
        <v>0</v>
      </c>
      <c r="M91" s="263">
        <v>85680</v>
      </c>
      <c r="N91" s="263">
        <f t="shared" si="2"/>
        <v>0</v>
      </c>
      <c r="O91" s="263"/>
      <c r="P91" s="263"/>
      <c r="Q91" s="263"/>
      <c r="R91" s="260"/>
      <c r="S91" s="260"/>
      <c r="T91" s="260"/>
      <c r="U91" s="260"/>
    </row>
    <row r="92" spans="1:25" ht="15" customHeight="1" x14ac:dyDescent="0.25">
      <c r="A92" s="270" t="s">
        <v>204</v>
      </c>
      <c r="B92" s="268" t="s">
        <v>676</v>
      </c>
      <c r="C92" s="270">
        <v>7433120080</v>
      </c>
      <c r="D92" s="264">
        <v>621</v>
      </c>
      <c r="E92" s="264"/>
      <c r="F92" s="265">
        <v>7007527.1200000001</v>
      </c>
      <c r="G92" s="260"/>
      <c r="H92" s="260">
        <v>79503</v>
      </c>
      <c r="I92" s="260">
        <f t="shared" si="0"/>
        <v>0</v>
      </c>
      <c r="J92" s="261">
        <v>79503</v>
      </c>
      <c r="K92" s="260">
        <v>79503</v>
      </c>
      <c r="L92" s="262">
        <f t="shared" si="1"/>
        <v>0</v>
      </c>
      <c r="M92" s="263">
        <v>79503</v>
      </c>
      <c r="N92" s="263">
        <f t="shared" si="2"/>
        <v>0</v>
      </c>
      <c r="O92" s="263"/>
      <c r="P92" s="263"/>
      <c r="Q92" s="263"/>
      <c r="R92" s="260"/>
      <c r="S92" s="260"/>
      <c r="T92" s="260"/>
      <c r="U92" s="260"/>
    </row>
    <row r="93" spans="1:25" ht="15" customHeight="1" x14ac:dyDescent="0.25">
      <c r="A93" s="270" t="s">
        <v>204</v>
      </c>
      <c r="B93" s="268" t="s">
        <v>676</v>
      </c>
      <c r="C93" s="270">
        <v>7444106080</v>
      </c>
      <c r="D93" s="264">
        <v>244</v>
      </c>
      <c r="E93" s="264"/>
      <c r="F93" s="265">
        <v>6779055.4900000002</v>
      </c>
      <c r="G93" s="259"/>
      <c r="H93" s="260">
        <v>37545.08</v>
      </c>
      <c r="I93" s="260">
        <f t="shared" si="0"/>
        <v>0</v>
      </c>
      <c r="J93" s="261">
        <v>37545.08</v>
      </c>
      <c r="K93" s="260">
        <v>33270</v>
      </c>
      <c r="L93" s="262">
        <f t="shared" si="1"/>
        <v>4275.0800000000017</v>
      </c>
      <c r="M93" s="263">
        <v>33270</v>
      </c>
      <c r="N93" s="263">
        <f t="shared" si="2"/>
        <v>0</v>
      </c>
      <c r="O93" s="263"/>
      <c r="P93" s="263"/>
      <c r="Q93" s="263"/>
      <c r="R93" s="260"/>
      <c r="S93" s="260"/>
      <c r="T93" s="260"/>
      <c r="U93" s="260"/>
    </row>
    <row r="94" spans="1:25" ht="15" customHeight="1" x14ac:dyDescent="0.25">
      <c r="A94" s="270" t="s">
        <v>204</v>
      </c>
      <c r="B94" s="268" t="s">
        <v>676</v>
      </c>
      <c r="C94" s="270">
        <v>7455120080</v>
      </c>
      <c r="D94" s="264">
        <v>611</v>
      </c>
      <c r="E94" s="264"/>
      <c r="F94" s="265">
        <v>2602030</v>
      </c>
      <c r="G94" s="259"/>
      <c r="H94" s="260">
        <v>75000</v>
      </c>
      <c r="I94" s="260">
        <f t="shared" si="0"/>
        <v>0</v>
      </c>
      <c r="J94" s="261">
        <v>75000</v>
      </c>
      <c r="K94" s="260">
        <v>75000</v>
      </c>
      <c r="L94" s="262">
        <f t="shared" si="1"/>
        <v>0</v>
      </c>
      <c r="M94" s="263">
        <v>75000</v>
      </c>
      <c r="N94" s="263">
        <f t="shared" si="2"/>
        <v>0</v>
      </c>
      <c r="O94" s="263"/>
      <c r="P94" s="263"/>
      <c r="Q94" s="263"/>
      <c r="R94" s="260"/>
      <c r="S94" s="260"/>
      <c r="T94" s="260"/>
      <c r="U94" s="260"/>
    </row>
    <row r="95" spans="1:25" ht="15" customHeight="1" x14ac:dyDescent="0.25">
      <c r="A95" s="267" t="s">
        <v>204</v>
      </c>
      <c r="B95" s="268" t="s">
        <v>676</v>
      </c>
      <c r="C95" s="270">
        <v>7455420080</v>
      </c>
      <c r="D95" s="264">
        <v>611</v>
      </c>
      <c r="E95" s="264"/>
      <c r="F95" s="265"/>
      <c r="G95" s="259"/>
      <c r="H95" s="260">
        <v>4500</v>
      </c>
      <c r="I95" s="260">
        <f t="shared" si="0"/>
        <v>0</v>
      </c>
      <c r="J95" s="261">
        <v>4500</v>
      </c>
      <c r="K95" s="260">
        <v>4500</v>
      </c>
      <c r="L95" s="262">
        <f t="shared" si="1"/>
        <v>0</v>
      </c>
      <c r="M95" s="263">
        <v>4500</v>
      </c>
      <c r="N95" s="263">
        <f t="shared" si="2"/>
        <v>0</v>
      </c>
      <c r="O95" s="263"/>
      <c r="P95" s="263"/>
      <c r="Q95" s="263"/>
      <c r="R95" s="260"/>
      <c r="S95" s="260"/>
      <c r="T95" s="260"/>
      <c r="U95" s="260"/>
    </row>
    <row r="96" spans="1:25" ht="15" customHeight="1" x14ac:dyDescent="0.25">
      <c r="A96" s="267" t="s">
        <v>204</v>
      </c>
      <c r="B96" s="264" t="s">
        <v>678</v>
      </c>
      <c r="C96" s="270">
        <v>7455429990</v>
      </c>
      <c r="D96" s="264">
        <v>611</v>
      </c>
      <c r="E96" s="264"/>
      <c r="F96" s="265"/>
      <c r="G96" s="259"/>
      <c r="H96" s="260">
        <v>6060815.1200000001</v>
      </c>
      <c r="I96" s="260">
        <f t="shared" si="0"/>
        <v>0</v>
      </c>
      <c r="J96" s="261">
        <v>6060815.1200000001</v>
      </c>
      <c r="K96" s="260">
        <v>6060815.1200000001</v>
      </c>
      <c r="L96" s="262">
        <f t="shared" si="1"/>
        <v>0</v>
      </c>
      <c r="M96" s="263">
        <v>6060815.1200000001</v>
      </c>
      <c r="N96" s="263">
        <f t="shared" si="2"/>
        <v>0</v>
      </c>
      <c r="O96" s="263"/>
      <c r="P96" s="263">
        <f>H96+H99+H100</f>
        <v>6325214.1200000001</v>
      </c>
      <c r="Q96" s="263"/>
      <c r="R96" s="260"/>
      <c r="S96" s="260"/>
      <c r="T96" s="260"/>
      <c r="U96" s="260"/>
    </row>
    <row r="97" spans="1:21" ht="15" customHeight="1" x14ac:dyDescent="0.25">
      <c r="A97" s="267" t="s">
        <v>204</v>
      </c>
      <c r="B97" s="264" t="s">
        <v>678</v>
      </c>
      <c r="C97" s="269">
        <v>7455471070</v>
      </c>
      <c r="D97" s="264">
        <v>611</v>
      </c>
      <c r="E97" s="264"/>
      <c r="F97" s="265"/>
      <c r="G97" s="259"/>
      <c r="H97" s="261">
        <v>176000</v>
      </c>
      <c r="I97" s="260">
        <f t="shared" si="0"/>
        <v>0</v>
      </c>
      <c r="J97" s="261">
        <v>176000</v>
      </c>
      <c r="K97" s="260">
        <v>176000</v>
      </c>
      <c r="L97" s="262">
        <f t="shared" si="1"/>
        <v>0</v>
      </c>
      <c r="M97" s="263">
        <v>176000</v>
      </c>
      <c r="N97" s="263">
        <f t="shared" si="2"/>
        <v>0</v>
      </c>
      <c r="O97" s="263"/>
      <c r="P97" s="263">
        <f>H97+H98</f>
        <v>3260900</v>
      </c>
      <c r="Q97" s="263">
        <f>H99+H100</f>
        <v>264399</v>
      </c>
      <c r="R97" s="260"/>
      <c r="S97" s="260"/>
      <c r="T97" s="260"/>
      <c r="U97" s="260"/>
    </row>
    <row r="98" spans="1:21" ht="15" customHeight="1" x14ac:dyDescent="0.25">
      <c r="A98" s="267" t="s">
        <v>204</v>
      </c>
      <c r="B98" s="264" t="s">
        <v>678</v>
      </c>
      <c r="C98" s="269">
        <v>7455471070</v>
      </c>
      <c r="D98" s="264">
        <v>621</v>
      </c>
      <c r="E98" s="264"/>
      <c r="F98" s="265"/>
      <c r="G98" s="259"/>
      <c r="H98" s="260">
        <v>3084900</v>
      </c>
      <c r="I98" s="260">
        <f t="shared" si="0"/>
        <v>0</v>
      </c>
      <c r="J98" s="261">
        <v>3084900</v>
      </c>
      <c r="K98" s="260">
        <v>3084900</v>
      </c>
      <c r="L98" s="262">
        <f t="shared" si="1"/>
        <v>0</v>
      </c>
      <c r="M98" s="263">
        <v>1892124</v>
      </c>
      <c r="N98" s="263">
        <f t="shared" si="2"/>
        <v>1192776</v>
      </c>
      <c r="O98" s="263"/>
      <c r="P98" s="263">
        <f>P96+P97</f>
        <v>9586114.120000001</v>
      </c>
      <c r="Q98" s="263"/>
      <c r="R98" s="260"/>
      <c r="S98" s="260"/>
      <c r="T98" s="260"/>
      <c r="U98" s="260"/>
    </row>
    <row r="99" spans="1:21" ht="15" customHeight="1" x14ac:dyDescent="0.25">
      <c r="A99" s="267">
        <v>918</v>
      </c>
      <c r="B99" s="264" t="s">
        <v>678</v>
      </c>
      <c r="C99" s="270" t="s">
        <v>336</v>
      </c>
      <c r="D99" s="264" t="s">
        <v>677</v>
      </c>
      <c r="E99" s="264"/>
      <c r="F99" s="265">
        <v>6598695.2999999998</v>
      </c>
      <c r="G99" s="259"/>
      <c r="H99" s="260">
        <v>14271</v>
      </c>
      <c r="I99" s="260">
        <f t="shared" si="0"/>
        <v>0</v>
      </c>
      <c r="J99" s="261">
        <v>14271</v>
      </c>
      <c r="K99" s="260">
        <v>14271</v>
      </c>
      <c r="L99" s="262">
        <f t="shared" si="1"/>
        <v>0</v>
      </c>
      <c r="M99" s="263">
        <v>14271</v>
      </c>
      <c r="N99" s="263">
        <f t="shared" si="2"/>
        <v>0</v>
      </c>
      <c r="O99" s="263"/>
      <c r="P99" s="263"/>
      <c r="Q99" s="263"/>
      <c r="R99" s="260"/>
      <c r="S99" s="260"/>
      <c r="T99" s="260"/>
      <c r="U99" s="260"/>
    </row>
    <row r="100" spans="1:21" ht="15" customHeight="1" x14ac:dyDescent="0.25">
      <c r="A100" s="267">
        <v>918</v>
      </c>
      <c r="B100" s="264" t="s">
        <v>678</v>
      </c>
      <c r="C100" s="270" t="s">
        <v>336</v>
      </c>
      <c r="D100" s="264">
        <v>621</v>
      </c>
      <c r="E100" s="264"/>
      <c r="F100" s="265">
        <v>2532870</v>
      </c>
      <c r="G100" s="259"/>
      <c r="H100" s="260">
        <v>250128</v>
      </c>
      <c r="I100" s="260">
        <f t="shared" si="0"/>
        <v>0</v>
      </c>
      <c r="J100" s="261">
        <v>250128</v>
      </c>
      <c r="K100" s="260">
        <v>250128</v>
      </c>
      <c r="L100" s="262">
        <f t="shared" si="1"/>
        <v>0</v>
      </c>
      <c r="M100" s="263">
        <v>250128</v>
      </c>
      <c r="N100" s="263">
        <f t="shared" si="2"/>
        <v>0</v>
      </c>
      <c r="O100" s="263"/>
      <c r="P100" s="263"/>
      <c r="Q100" s="263"/>
      <c r="R100" s="260"/>
      <c r="S100" s="260"/>
      <c r="T100" s="260"/>
      <c r="U100" s="260"/>
    </row>
    <row r="101" spans="1:21" ht="15" customHeight="1" x14ac:dyDescent="0.25">
      <c r="A101" s="267">
        <v>918</v>
      </c>
      <c r="B101" s="264" t="s">
        <v>679</v>
      </c>
      <c r="C101" s="270">
        <v>7455100090</v>
      </c>
      <c r="D101" s="264">
        <v>611</v>
      </c>
      <c r="E101" s="264"/>
      <c r="F101" s="265"/>
      <c r="G101" s="259"/>
      <c r="H101" s="260">
        <v>21051928.300000001</v>
      </c>
      <c r="I101" s="260">
        <f t="shared" si="0"/>
        <v>0</v>
      </c>
      <c r="J101" s="261">
        <v>21051928.300000001</v>
      </c>
      <c r="K101" s="260">
        <v>21051928.300000001</v>
      </c>
      <c r="L101" s="262">
        <f t="shared" si="1"/>
        <v>0</v>
      </c>
      <c r="M101" s="263">
        <v>21051928.300000001</v>
      </c>
      <c r="N101" s="263">
        <f t="shared" si="2"/>
        <v>0</v>
      </c>
      <c r="O101" s="263"/>
      <c r="P101" s="263">
        <f>H97+H98</f>
        <v>3260900</v>
      </c>
      <c r="Q101" s="263"/>
      <c r="R101" s="260"/>
      <c r="S101" s="260"/>
      <c r="T101" s="260"/>
      <c r="U101" s="260"/>
    </row>
    <row r="102" spans="1:21" ht="15" customHeight="1" x14ac:dyDescent="0.25">
      <c r="A102" s="267">
        <v>918</v>
      </c>
      <c r="B102" s="264" t="s">
        <v>679</v>
      </c>
      <c r="C102" s="270">
        <v>7455113060</v>
      </c>
      <c r="D102" s="264">
        <v>612</v>
      </c>
      <c r="E102" s="264"/>
      <c r="F102" s="265"/>
      <c r="G102" s="259"/>
      <c r="H102" s="260">
        <v>391676.34</v>
      </c>
      <c r="I102" s="260">
        <f t="shared" si="0"/>
        <v>0</v>
      </c>
      <c r="J102" s="261">
        <v>391676.34</v>
      </c>
      <c r="K102" s="260">
        <v>391676.34</v>
      </c>
      <c r="L102" s="262">
        <f t="shared" si="1"/>
        <v>0</v>
      </c>
      <c r="M102" s="263">
        <v>391676.34</v>
      </c>
      <c r="N102" s="263">
        <f t="shared" si="2"/>
        <v>0</v>
      </c>
      <c r="O102" s="263"/>
      <c r="P102" s="263">
        <f>H99+H100</f>
        <v>264399</v>
      </c>
      <c r="Q102" s="263"/>
      <c r="R102" s="260"/>
      <c r="S102" s="260"/>
      <c r="T102" s="260"/>
      <c r="U102" s="260"/>
    </row>
    <row r="103" spans="1:21" ht="15" customHeight="1" x14ac:dyDescent="0.25">
      <c r="A103" s="267">
        <v>918</v>
      </c>
      <c r="B103" s="264" t="s">
        <v>679</v>
      </c>
      <c r="C103" s="269">
        <v>7455171100</v>
      </c>
      <c r="D103" s="264">
        <v>611</v>
      </c>
      <c r="E103" s="264" t="s">
        <v>645</v>
      </c>
      <c r="F103" s="265"/>
      <c r="G103" s="259"/>
      <c r="H103" s="260">
        <v>30933.72</v>
      </c>
      <c r="I103" s="260">
        <f t="shared" si="0"/>
        <v>0</v>
      </c>
      <c r="J103" s="261">
        <v>30933.72</v>
      </c>
      <c r="K103" s="260">
        <v>30933.72</v>
      </c>
      <c r="L103" s="262">
        <f t="shared" si="1"/>
        <v>0</v>
      </c>
      <c r="M103" s="263">
        <v>30933.72</v>
      </c>
      <c r="N103" s="263">
        <f t="shared" si="2"/>
        <v>0</v>
      </c>
      <c r="O103" s="263"/>
      <c r="P103" s="263">
        <f>P101+P102</f>
        <v>3525299</v>
      </c>
      <c r="Q103" s="263"/>
      <c r="R103" s="260"/>
      <c r="S103" s="260"/>
      <c r="T103" s="260"/>
      <c r="U103" s="260"/>
    </row>
    <row r="104" spans="1:21" ht="15" customHeight="1" x14ac:dyDescent="0.25">
      <c r="A104" s="267" t="s">
        <v>204</v>
      </c>
      <c r="B104" s="264" t="s">
        <v>679</v>
      </c>
      <c r="C104" s="270" t="s">
        <v>304</v>
      </c>
      <c r="D104" s="264" t="s">
        <v>677</v>
      </c>
      <c r="E104" s="264"/>
      <c r="F104" s="265">
        <v>2947001.4</v>
      </c>
      <c r="G104" s="259"/>
      <c r="H104" s="260">
        <v>2508.14</v>
      </c>
      <c r="I104" s="260">
        <f t="shared" si="0"/>
        <v>0</v>
      </c>
      <c r="J104" s="261">
        <v>2508.14</v>
      </c>
      <c r="K104" s="260">
        <v>2508.14</v>
      </c>
      <c r="L104" s="262">
        <f t="shared" si="1"/>
        <v>0</v>
      </c>
      <c r="M104" s="263">
        <v>2508.14</v>
      </c>
      <c r="N104" s="263">
        <f t="shared" si="2"/>
        <v>0</v>
      </c>
      <c r="O104" s="263"/>
      <c r="P104" s="263">
        <f>P101/P103*100</f>
        <v>92.499955322938561</v>
      </c>
      <c r="Q104" s="263"/>
      <c r="R104" s="260"/>
      <c r="S104" s="261"/>
      <c r="T104" s="260"/>
      <c r="U104" s="260"/>
    </row>
    <row r="105" spans="1:21" ht="15" customHeight="1" x14ac:dyDescent="0.25">
      <c r="A105" s="267" t="s">
        <v>204</v>
      </c>
      <c r="B105" s="264" t="s">
        <v>679</v>
      </c>
      <c r="C105" s="267" t="s">
        <v>680</v>
      </c>
      <c r="D105" s="264">
        <v>611</v>
      </c>
      <c r="E105" s="264"/>
      <c r="F105" s="265">
        <v>1131150</v>
      </c>
      <c r="G105" s="259"/>
      <c r="H105" s="260">
        <v>14269.43</v>
      </c>
      <c r="I105" s="260">
        <f t="shared" si="0"/>
        <v>0</v>
      </c>
      <c r="J105" s="261">
        <v>14269.43</v>
      </c>
      <c r="K105" s="260">
        <v>14269.43</v>
      </c>
      <c r="L105" s="262">
        <f t="shared" si="1"/>
        <v>0</v>
      </c>
      <c r="M105" s="263">
        <v>14269.43</v>
      </c>
      <c r="N105" s="263">
        <f t="shared" si="2"/>
        <v>0</v>
      </c>
      <c r="O105" s="263"/>
      <c r="P105" s="263">
        <f>P102/P103*100</f>
        <v>7.5000446770614353</v>
      </c>
      <c r="Q105" s="263"/>
      <c r="R105" s="260"/>
      <c r="S105" s="261"/>
      <c r="T105" s="260"/>
      <c r="U105" s="260"/>
    </row>
    <row r="106" spans="1:21" ht="15" customHeight="1" x14ac:dyDescent="0.25">
      <c r="A106" s="267" t="s">
        <v>204</v>
      </c>
      <c r="B106" s="264" t="s">
        <v>679</v>
      </c>
      <c r="C106" s="267">
        <v>7455300090</v>
      </c>
      <c r="D106" s="264">
        <v>621</v>
      </c>
      <c r="E106" s="264"/>
      <c r="F106" s="265"/>
      <c r="G106" s="259"/>
      <c r="H106" s="260">
        <v>27287895.460000001</v>
      </c>
      <c r="I106" s="260">
        <f t="shared" si="0"/>
        <v>0</v>
      </c>
      <c r="J106" s="261">
        <v>27287895.460000001</v>
      </c>
      <c r="K106" s="260">
        <v>27287895.460000001</v>
      </c>
      <c r="L106" s="262">
        <f t="shared" si="1"/>
        <v>0</v>
      </c>
      <c r="M106" s="263">
        <v>27287895.460000001</v>
      </c>
      <c r="N106" s="263">
        <f t="shared" si="2"/>
        <v>0</v>
      </c>
      <c r="O106" s="263"/>
      <c r="P106" s="263"/>
      <c r="Q106" s="263"/>
      <c r="R106" s="260"/>
      <c r="S106" s="261"/>
      <c r="T106" s="260"/>
      <c r="U106" s="260"/>
    </row>
    <row r="107" spans="1:21" ht="15" customHeight="1" x14ac:dyDescent="0.25">
      <c r="A107" s="267">
        <v>918</v>
      </c>
      <c r="B107" s="264" t="s">
        <v>679</v>
      </c>
      <c r="C107" s="267">
        <v>7455313060</v>
      </c>
      <c r="D107" s="264">
        <v>622</v>
      </c>
      <c r="E107" s="264"/>
      <c r="F107" s="265"/>
      <c r="G107" s="259"/>
      <c r="H107" s="260">
        <v>729183.05</v>
      </c>
      <c r="I107" s="260">
        <f t="shared" si="0"/>
        <v>0</v>
      </c>
      <c r="J107" s="261">
        <v>729183.05</v>
      </c>
      <c r="K107" s="260">
        <v>729183.05</v>
      </c>
      <c r="L107" s="262">
        <f t="shared" si="1"/>
        <v>0</v>
      </c>
      <c r="M107" s="263">
        <v>727784.11</v>
      </c>
      <c r="N107" s="263">
        <f t="shared" si="2"/>
        <v>1398.9400000000605</v>
      </c>
      <c r="O107" s="263"/>
      <c r="P107" s="263"/>
      <c r="Q107" s="263"/>
      <c r="R107" s="260"/>
      <c r="S107" s="261"/>
      <c r="T107" s="260"/>
      <c r="U107" s="260"/>
    </row>
    <row r="108" spans="1:21" ht="15" customHeight="1" x14ac:dyDescent="0.25">
      <c r="A108" s="270">
        <v>918</v>
      </c>
      <c r="B108" s="264" t="s">
        <v>679</v>
      </c>
      <c r="C108" s="267">
        <v>7455329990</v>
      </c>
      <c r="D108" s="264">
        <v>622</v>
      </c>
      <c r="E108" s="264"/>
      <c r="F108" s="265"/>
      <c r="G108" s="259"/>
      <c r="H108" s="260">
        <v>527239</v>
      </c>
      <c r="I108" s="260">
        <f t="shared" si="0"/>
        <v>0</v>
      </c>
      <c r="J108" s="261">
        <v>527239</v>
      </c>
      <c r="K108" s="260">
        <v>527239</v>
      </c>
      <c r="L108" s="262">
        <f t="shared" si="1"/>
        <v>0</v>
      </c>
      <c r="M108" s="263">
        <v>527239</v>
      </c>
      <c r="N108" s="263">
        <f t="shared" si="2"/>
        <v>0</v>
      </c>
      <c r="O108" s="263"/>
      <c r="P108" s="263"/>
      <c r="Q108" s="263"/>
      <c r="R108" s="260"/>
      <c r="S108" s="261"/>
      <c r="T108" s="260"/>
      <c r="U108" s="260"/>
    </row>
    <row r="109" spans="1:21" ht="15" customHeight="1" x14ac:dyDescent="0.25">
      <c r="A109" s="267">
        <v>918</v>
      </c>
      <c r="B109" s="264" t="s">
        <v>679</v>
      </c>
      <c r="C109" s="269">
        <v>7455371040</v>
      </c>
      <c r="D109" s="264">
        <v>621</v>
      </c>
      <c r="E109" s="264" t="s">
        <v>658</v>
      </c>
      <c r="F109" s="265"/>
      <c r="G109" s="259"/>
      <c r="H109" s="260">
        <v>1642610</v>
      </c>
      <c r="I109" s="260">
        <f t="shared" si="0"/>
        <v>0</v>
      </c>
      <c r="J109" s="261">
        <v>1642610</v>
      </c>
      <c r="K109" s="260">
        <v>1435297.85</v>
      </c>
      <c r="L109" s="262">
        <f t="shared" si="1"/>
        <v>207312.14999999991</v>
      </c>
      <c r="M109" s="263">
        <v>1435297.85</v>
      </c>
      <c r="N109" s="263">
        <f t="shared" si="2"/>
        <v>0</v>
      </c>
      <c r="O109" s="263">
        <f>H109+H110+H111+H112+H113+H114+H98</f>
        <v>53779074.160000004</v>
      </c>
      <c r="P109" s="263"/>
      <c r="Q109" s="263"/>
      <c r="R109" s="260"/>
      <c r="S109" s="261"/>
      <c r="T109" s="260"/>
      <c r="U109" s="260"/>
    </row>
    <row r="110" spans="1:21" ht="15" customHeight="1" x14ac:dyDescent="0.25">
      <c r="A110" s="267" t="s">
        <v>204</v>
      </c>
      <c r="B110" s="264" t="s">
        <v>679</v>
      </c>
      <c r="C110" s="269">
        <v>7455371100</v>
      </c>
      <c r="D110" s="264">
        <v>621</v>
      </c>
      <c r="E110" s="264" t="s">
        <v>645</v>
      </c>
      <c r="F110" s="265"/>
      <c r="G110" s="259"/>
      <c r="H110" s="260">
        <v>3163830.36</v>
      </c>
      <c r="I110" s="260">
        <f t="shared" si="0"/>
        <v>0</v>
      </c>
      <c r="J110" s="261">
        <v>3163830.36</v>
      </c>
      <c r="K110" s="260">
        <v>3163830.36</v>
      </c>
      <c r="L110" s="262">
        <f t="shared" si="1"/>
        <v>0</v>
      </c>
      <c r="M110" s="263">
        <v>3163830.36</v>
      </c>
      <c r="N110" s="263">
        <f t="shared" si="2"/>
        <v>0</v>
      </c>
      <c r="O110" s="263">
        <f>H109+H110+H111+H112+H113+H114+H98</f>
        <v>53779074.160000004</v>
      </c>
      <c r="P110" s="263"/>
      <c r="Q110" s="263"/>
      <c r="R110" s="260"/>
      <c r="S110" s="261"/>
      <c r="T110" s="260"/>
      <c r="U110" s="260"/>
    </row>
    <row r="111" spans="1:21" ht="15" customHeight="1" x14ac:dyDescent="0.25">
      <c r="A111" s="267">
        <v>918</v>
      </c>
      <c r="B111" s="264" t="s">
        <v>679</v>
      </c>
      <c r="C111" s="269">
        <v>7455371250</v>
      </c>
      <c r="D111" s="264">
        <v>621</v>
      </c>
      <c r="E111" s="264" t="s">
        <v>659</v>
      </c>
      <c r="F111" s="265"/>
      <c r="G111" s="259"/>
      <c r="H111" s="260">
        <v>3941344</v>
      </c>
      <c r="I111" s="260">
        <f t="shared" si="0"/>
        <v>0</v>
      </c>
      <c r="J111" s="261">
        <v>3941344</v>
      </c>
      <c r="K111" s="260">
        <v>3843574.43</v>
      </c>
      <c r="L111" s="262">
        <f t="shared" si="1"/>
        <v>97769.569999999832</v>
      </c>
      <c r="M111" s="263">
        <v>3843574.43</v>
      </c>
      <c r="N111" s="263">
        <f t="shared" si="2"/>
        <v>0</v>
      </c>
      <c r="O111" s="263">
        <f>H106+H115+H116+H117+H118+H119</f>
        <v>31931696.030000001</v>
      </c>
      <c r="P111" s="263"/>
      <c r="Q111" s="263"/>
      <c r="R111" s="260"/>
      <c r="S111" s="261"/>
      <c r="T111" s="260"/>
      <c r="U111" s="260"/>
    </row>
    <row r="112" spans="1:21" ht="15" customHeight="1" x14ac:dyDescent="0.25">
      <c r="A112" s="267">
        <v>918</v>
      </c>
      <c r="B112" s="264" t="s">
        <v>679</v>
      </c>
      <c r="C112" s="269">
        <v>7455375320</v>
      </c>
      <c r="D112" s="264">
        <v>621</v>
      </c>
      <c r="E112" s="264" t="s">
        <v>660</v>
      </c>
      <c r="F112" s="265"/>
      <c r="G112" s="259"/>
      <c r="H112" s="260">
        <v>12220426</v>
      </c>
      <c r="I112" s="260">
        <f t="shared" si="0"/>
        <v>0</v>
      </c>
      <c r="J112" s="261">
        <v>12220426</v>
      </c>
      <c r="K112" s="260">
        <v>12061726.24</v>
      </c>
      <c r="L112" s="262">
        <f t="shared" si="1"/>
        <v>158699.75999999978</v>
      </c>
      <c r="M112" s="263">
        <v>10250292</v>
      </c>
      <c r="N112" s="263">
        <f t="shared" si="2"/>
        <v>1811434.2400000002</v>
      </c>
      <c r="O112" s="263"/>
      <c r="P112" s="263"/>
      <c r="Q112" s="263"/>
      <c r="R112" s="260">
        <f>R113+R57</f>
        <v>30194170.030000001</v>
      </c>
      <c r="S112" s="261"/>
      <c r="T112" s="260"/>
      <c r="U112" s="260"/>
    </row>
    <row r="113" spans="1:21" ht="24" customHeight="1" x14ac:dyDescent="0.25">
      <c r="A113" s="267">
        <v>918</v>
      </c>
      <c r="B113" s="264" t="s">
        <v>679</v>
      </c>
      <c r="C113" s="269" t="s">
        <v>323</v>
      </c>
      <c r="D113" s="264">
        <v>621</v>
      </c>
      <c r="E113" s="271" t="s">
        <v>661</v>
      </c>
      <c r="F113" s="265"/>
      <c r="G113" s="264" t="s">
        <v>34</v>
      </c>
      <c r="H113" s="260">
        <v>21105433.949999999</v>
      </c>
      <c r="I113" s="260">
        <f t="shared" si="0"/>
        <v>0</v>
      </c>
      <c r="J113" s="260">
        <v>21105433.949999999</v>
      </c>
      <c r="K113" s="273">
        <f>26475283.81-529505.68</f>
        <v>25945778.129999999</v>
      </c>
      <c r="L113" s="262">
        <f t="shared" si="1"/>
        <v>-4840344.18</v>
      </c>
      <c r="M113" s="263">
        <f>R113*71%</f>
        <v>18228182.302000001</v>
      </c>
      <c r="N113" s="263">
        <f t="shared" si="2"/>
        <v>7717595.8279999979</v>
      </c>
      <c r="O113" s="263">
        <f>M113+M115</f>
        <v>18752131.202</v>
      </c>
      <c r="P113" s="263"/>
      <c r="Q113" s="263"/>
      <c r="R113" s="260">
        <v>25673496.200000003</v>
      </c>
      <c r="S113" s="261"/>
      <c r="T113" s="260"/>
      <c r="U113" s="260"/>
    </row>
    <row r="114" spans="1:21" ht="24.75" customHeight="1" x14ac:dyDescent="0.25">
      <c r="A114" s="267">
        <v>918</v>
      </c>
      <c r="B114" s="264" t="s">
        <v>679</v>
      </c>
      <c r="C114" s="269" t="s">
        <v>323</v>
      </c>
      <c r="D114" s="264">
        <v>621</v>
      </c>
      <c r="E114" s="271" t="s">
        <v>661</v>
      </c>
      <c r="F114" s="265"/>
      <c r="G114" s="264" t="s">
        <v>32</v>
      </c>
      <c r="H114" s="260">
        <v>8620529.8499999996</v>
      </c>
      <c r="I114" s="260">
        <f t="shared" si="0"/>
        <v>0</v>
      </c>
      <c r="J114" s="260">
        <v>8620529.8499999996</v>
      </c>
      <c r="K114" s="273">
        <v>0</v>
      </c>
      <c r="L114" s="262">
        <f t="shared" si="1"/>
        <v>8620529.8499999996</v>
      </c>
      <c r="M114" s="263">
        <f>R113*29%</f>
        <v>7445313.898</v>
      </c>
      <c r="N114" s="263">
        <f t="shared" si="2"/>
        <v>-7445313.898</v>
      </c>
      <c r="O114" s="263">
        <v>26197445.100000001</v>
      </c>
      <c r="P114" s="263">
        <f>P115*2/100</f>
        <v>622184.95059999998</v>
      </c>
      <c r="Q114" s="263">
        <f>K115+K59</f>
        <v>622184.95000000007</v>
      </c>
      <c r="R114" s="260">
        <f>H113+H114+H115</f>
        <v>30332616.119999997</v>
      </c>
      <c r="S114" s="261"/>
      <c r="T114" s="260"/>
      <c r="U114" s="260"/>
    </row>
    <row r="115" spans="1:21" ht="23.25" customHeight="1" x14ac:dyDescent="0.25">
      <c r="A115" s="267">
        <v>918</v>
      </c>
      <c r="B115" s="264" t="s">
        <v>679</v>
      </c>
      <c r="C115" s="267" t="s">
        <v>323</v>
      </c>
      <c r="D115" s="264">
        <v>621</v>
      </c>
      <c r="E115" s="271" t="s">
        <v>661</v>
      </c>
      <c r="F115" s="265"/>
      <c r="G115" s="264" t="s">
        <v>30</v>
      </c>
      <c r="H115" s="260">
        <f>584777.58+21874.74</f>
        <v>606652.31999999995</v>
      </c>
      <c r="I115" s="260">
        <f t="shared" si="0"/>
        <v>0</v>
      </c>
      <c r="J115" s="260">
        <f>584777.58+21874.74</f>
        <v>606652.31999999995</v>
      </c>
      <c r="K115" s="273">
        <f>529505.68</f>
        <v>529505.68000000005</v>
      </c>
      <c r="L115" s="262">
        <f t="shared" si="1"/>
        <v>77146.639999999898</v>
      </c>
      <c r="M115" s="263">
        <f>523948.9</f>
        <v>523948.9</v>
      </c>
      <c r="N115" s="263">
        <f t="shared" si="2"/>
        <v>5556.7800000000279</v>
      </c>
      <c r="O115" s="263">
        <f>N113+N115</f>
        <v>7723152.6079999981</v>
      </c>
      <c r="P115" s="263">
        <f>31109247.53</f>
        <v>31109247.530000001</v>
      </c>
      <c r="Q115" s="263"/>
      <c r="R115" s="273">
        <f>H113+H57</f>
        <v>24929935</v>
      </c>
      <c r="S115" s="261"/>
      <c r="T115" s="260"/>
      <c r="U115" s="260"/>
    </row>
    <row r="116" spans="1:21" ht="15" customHeight="1" x14ac:dyDescent="0.25">
      <c r="A116" s="267" t="s">
        <v>204</v>
      </c>
      <c r="B116" s="264" t="s">
        <v>679</v>
      </c>
      <c r="C116" s="264" t="s">
        <v>325</v>
      </c>
      <c r="D116" s="264">
        <v>621</v>
      </c>
      <c r="E116" s="264"/>
      <c r="F116" s="265">
        <v>7208180.8899999997</v>
      </c>
      <c r="G116" s="259"/>
      <c r="H116" s="260">
        <v>3700185.7</v>
      </c>
      <c r="I116" s="260">
        <f t="shared" si="0"/>
        <v>0</v>
      </c>
      <c r="J116" s="261">
        <v>3700185.7</v>
      </c>
      <c r="K116" s="260">
        <v>3700185.7</v>
      </c>
      <c r="L116" s="262">
        <f t="shared" si="1"/>
        <v>0</v>
      </c>
      <c r="M116" s="263">
        <v>3700185.7</v>
      </c>
      <c r="N116" s="263">
        <f t="shared" si="2"/>
        <v>0</v>
      </c>
      <c r="O116" s="263"/>
      <c r="P116" s="263">
        <f>K113+K57+K115+K59</f>
        <v>31109247.529999997</v>
      </c>
      <c r="Q116" s="263"/>
      <c r="R116" s="273">
        <f>H114+H58</f>
        <v>10182650</v>
      </c>
      <c r="S116" s="260"/>
      <c r="T116" s="260"/>
      <c r="U116" s="260"/>
    </row>
    <row r="117" spans="1:21" ht="15" customHeight="1" x14ac:dyDescent="0.25">
      <c r="A117" s="270" t="s">
        <v>204</v>
      </c>
      <c r="B117" s="264" t="s">
        <v>679</v>
      </c>
      <c r="C117" s="264" t="s">
        <v>326</v>
      </c>
      <c r="D117" s="264">
        <v>621</v>
      </c>
      <c r="E117" s="264"/>
      <c r="F117" s="265">
        <v>2057216</v>
      </c>
      <c r="G117" s="259"/>
      <c r="H117" s="260">
        <v>256526.79</v>
      </c>
      <c r="I117" s="260">
        <f t="shared" si="0"/>
        <v>0</v>
      </c>
      <c r="J117" s="261">
        <v>256526.79</v>
      </c>
      <c r="K117" s="260">
        <v>256526.79</v>
      </c>
      <c r="L117" s="262">
        <f t="shared" si="1"/>
        <v>0</v>
      </c>
      <c r="M117" s="263">
        <v>256526.79</v>
      </c>
      <c r="N117" s="263">
        <f t="shared" si="2"/>
        <v>0</v>
      </c>
      <c r="O117" s="263"/>
      <c r="P117" s="263"/>
      <c r="Q117" s="263"/>
      <c r="R117" s="260">
        <f>H115+H59</f>
        <v>716583.36</v>
      </c>
      <c r="S117" s="260"/>
      <c r="T117" s="260"/>
      <c r="U117" s="260"/>
    </row>
    <row r="118" spans="1:21" ht="15" customHeight="1" x14ac:dyDescent="0.25">
      <c r="A118" s="270" t="s">
        <v>204</v>
      </c>
      <c r="B118" s="264" t="s">
        <v>679</v>
      </c>
      <c r="C118" s="264" t="s">
        <v>328</v>
      </c>
      <c r="D118" s="264">
        <v>621</v>
      </c>
      <c r="E118" s="264"/>
      <c r="F118" s="265">
        <v>32008.11</v>
      </c>
      <c r="G118" s="259"/>
      <c r="H118" s="260">
        <v>80435.759999999995</v>
      </c>
      <c r="I118" s="260">
        <f t="shared" si="0"/>
        <v>0</v>
      </c>
      <c r="J118" s="261">
        <v>80435.759999999995</v>
      </c>
      <c r="K118" s="260">
        <v>78440.289999999994</v>
      </c>
      <c r="L118" s="262">
        <f t="shared" si="1"/>
        <v>1995.4700000000012</v>
      </c>
      <c r="M118" s="263">
        <v>78440.289999999994</v>
      </c>
      <c r="N118" s="263">
        <f t="shared" si="2"/>
        <v>0</v>
      </c>
      <c r="O118" s="263"/>
      <c r="P118" s="263">
        <f>P124-P119</f>
        <v>323315.00000000373</v>
      </c>
      <c r="Q118" s="263"/>
      <c r="R118" s="260">
        <f>R115+R116</f>
        <v>35112585</v>
      </c>
      <c r="S118" s="260">
        <f>H98+H109+H110+H111+H112+H113+H114</f>
        <v>53779074.160000004</v>
      </c>
      <c r="T118" s="260">
        <f>H98+H109+H110+H111+H112+H113+H114-65520</f>
        <v>53713554.160000004</v>
      </c>
      <c r="U118" s="260">
        <f>S118-T118</f>
        <v>65520</v>
      </c>
    </row>
    <row r="119" spans="1:21" ht="15" customHeight="1" x14ac:dyDescent="0.25">
      <c r="A119" s="270" t="s">
        <v>204</v>
      </c>
      <c r="B119" s="264" t="s">
        <v>679</v>
      </c>
      <c r="C119" s="264" t="s">
        <v>662</v>
      </c>
      <c r="D119" s="264">
        <v>621</v>
      </c>
      <c r="E119" s="264"/>
      <c r="F119" s="265"/>
      <c r="G119" s="259"/>
      <c r="H119" s="260">
        <v>0</v>
      </c>
      <c r="I119" s="260">
        <f t="shared" si="0"/>
        <v>0</v>
      </c>
      <c r="J119" s="261">
        <v>0</v>
      </c>
      <c r="K119" s="260">
        <v>0</v>
      </c>
      <c r="L119" s="262">
        <f t="shared" si="1"/>
        <v>0</v>
      </c>
      <c r="M119" s="263">
        <v>0</v>
      </c>
      <c r="N119" s="263">
        <f t="shared" si="2"/>
        <v>0</v>
      </c>
      <c r="O119" s="263"/>
      <c r="P119" s="274">
        <v>30487062.579999998</v>
      </c>
      <c r="Q119" s="263" t="s">
        <v>681</v>
      </c>
      <c r="R119" s="260"/>
      <c r="S119" s="260">
        <f>H100+H106+H107+H108+H115+H116+H117+H118+H119</f>
        <v>33438246.080000002</v>
      </c>
      <c r="T119" s="260">
        <f>H100+H106+H107+H108+H115+H116+H117+H118+H119-5312.43</f>
        <v>33432933.650000002</v>
      </c>
      <c r="U119" s="260"/>
    </row>
    <row r="120" spans="1:21" ht="15" customHeight="1" x14ac:dyDescent="0.25">
      <c r="A120" s="270" t="s">
        <v>204</v>
      </c>
      <c r="B120" s="264">
        <v>1003</v>
      </c>
      <c r="C120" s="269">
        <v>7422175100</v>
      </c>
      <c r="D120" s="264">
        <v>622</v>
      </c>
      <c r="E120" s="264" t="s">
        <v>682</v>
      </c>
      <c r="F120" s="265"/>
      <c r="G120" s="259"/>
      <c r="H120" s="260">
        <v>1757300</v>
      </c>
      <c r="I120" s="260">
        <f t="shared" si="0"/>
        <v>0</v>
      </c>
      <c r="J120" s="261">
        <v>1757300</v>
      </c>
      <c r="K120" s="260">
        <v>1713600</v>
      </c>
      <c r="L120" s="262">
        <f t="shared" si="1"/>
        <v>43700</v>
      </c>
      <c r="M120" s="263">
        <v>1713600</v>
      </c>
      <c r="N120" s="263">
        <f t="shared" si="2"/>
        <v>0</v>
      </c>
      <c r="O120" s="263"/>
      <c r="P120" s="263">
        <f>M113+M57</f>
        <v>21437860.721300002</v>
      </c>
      <c r="Q120" s="263" t="s">
        <v>683</v>
      </c>
      <c r="R120" s="260"/>
      <c r="S120" s="260"/>
      <c r="T120" s="260">
        <f>T118+T119</f>
        <v>87146487.810000002</v>
      </c>
      <c r="U120" s="260"/>
    </row>
    <row r="121" spans="1:21" ht="15" customHeight="1" x14ac:dyDescent="0.25">
      <c r="A121" s="270" t="s">
        <v>204</v>
      </c>
      <c r="B121" s="264">
        <v>1003</v>
      </c>
      <c r="C121" s="269">
        <v>7444275200</v>
      </c>
      <c r="D121" s="264">
        <v>321</v>
      </c>
      <c r="E121" s="264" t="s">
        <v>684</v>
      </c>
      <c r="F121" s="265"/>
      <c r="G121" s="259"/>
      <c r="H121" s="260">
        <v>1439100</v>
      </c>
      <c r="I121" s="260">
        <f t="shared" si="0"/>
        <v>0</v>
      </c>
      <c r="J121" s="261">
        <v>1439100</v>
      </c>
      <c r="K121" s="261">
        <v>1256486.99</v>
      </c>
      <c r="L121" s="277">
        <f t="shared" si="1"/>
        <v>182613.01</v>
      </c>
      <c r="M121" s="266">
        <v>1242499.56</v>
      </c>
      <c r="N121" s="263">
        <f t="shared" si="2"/>
        <v>13987.429999999935</v>
      </c>
      <c r="O121" s="263"/>
      <c r="P121" s="263">
        <f>M115+M59</f>
        <v>616207.55000000005</v>
      </c>
      <c r="Q121" s="263" t="s">
        <v>2</v>
      </c>
      <c r="R121" s="260"/>
      <c r="S121" s="260"/>
      <c r="T121" s="260"/>
      <c r="U121" s="260"/>
    </row>
    <row r="122" spans="1:21" ht="15" customHeight="1" x14ac:dyDescent="0.25">
      <c r="A122" s="270">
        <v>918</v>
      </c>
      <c r="B122" s="264">
        <v>1006</v>
      </c>
      <c r="C122" s="269">
        <v>7444275210</v>
      </c>
      <c r="D122" s="264">
        <v>121</v>
      </c>
      <c r="E122" s="264" t="s">
        <v>685</v>
      </c>
      <c r="F122" s="265"/>
      <c r="G122" s="259"/>
      <c r="H122" s="260">
        <v>16897.080000000002</v>
      </c>
      <c r="I122" s="260">
        <f t="shared" si="0"/>
        <v>0</v>
      </c>
      <c r="J122" s="261">
        <v>16897.080000000002</v>
      </c>
      <c r="K122" s="273">
        <v>16897.080000000002</v>
      </c>
      <c r="L122" s="262">
        <f t="shared" si="1"/>
        <v>0</v>
      </c>
      <c r="M122" s="274">
        <v>16897.080000000002</v>
      </c>
      <c r="N122" s="263">
        <f t="shared" si="2"/>
        <v>0</v>
      </c>
      <c r="O122" s="263"/>
      <c r="P122" s="263">
        <f>P120+P121</f>
        <v>22054068.271300003</v>
      </c>
      <c r="Q122" s="263">
        <f>P124-P122</f>
        <v>8756309.308699999</v>
      </c>
      <c r="R122" s="260"/>
      <c r="S122" s="260"/>
      <c r="T122" s="260"/>
      <c r="U122" s="260"/>
    </row>
    <row r="123" spans="1:21" ht="15" customHeight="1" x14ac:dyDescent="0.25">
      <c r="A123" s="270">
        <v>918</v>
      </c>
      <c r="B123" s="264">
        <v>1006</v>
      </c>
      <c r="C123" s="269">
        <v>7444275210</v>
      </c>
      <c r="D123" s="264">
        <v>129</v>
      </c>
      <c r="E123" s="264" t="s">
        <v>685</v>
      </c>
      <c r="F123" s="265"/>
      <c r="G123" s="259"/>
      <c r="H123" s="260">
        <v>5102.92</v>
      </c>
      <c r="I123" s="260">
        <f t="shared" si="0"/>
        <v>0</v>
      </c>
      <c r="J123" s="261">
        <v>5102.92</v>
      </c>
      <c r="K123" s="273">
        <v>5102.92</v>
      </c>
      <c r="L123" s="262">
        <f t="shared" si="1"/>
        <v>0</v>
      </c>
      <c r="M123" s="274">
        <v>5102.92</v>
      </c>
      <c r="N123" s="263">
        <f t="shared" si="2"/>
        <v>0</v>
      </c>
      <c r="O123" s="263"/>
      <c r="P123" s="263"/>
      <c r="Q123" s="263"/>
      <c r="R123" s="260"/>
      <c r="S123" s="260"/>
      <c r="T123" s="260"/>
      <c r="U123" s="260"/>
    </row>
    <row r="124" spans="1:21" ht="15" customHeight="1" x14ac:dyDescent="0.25">
      <c r="A124" s="270">
        <v>918</v>
      </c>
      <c r="B124" s="264">
        <v>1003</v>
      </c>
      <c r="C124" s="269">
        <v>7444275250</v>
      </c>
      <c r="D124" s="264">
        <v>323</v>
      </c>
      <c r="E124" s="264" t="s">
        <v>686</v>
      </c>
      <c r="F124" s="265"/>
      <c r="G124" s="259"/>
      <c r="H124" s="260">
        <v>305000</v>
      </c>
      <c r="I124" s="260">
        <f t="shared" si="0"/>
        <v>0</v>
      </c>
      <c r="J124" s="261">
        <v>305000</v>
      </c>
      <c r="K124" s="260">
        <v>295000</v>
      </c>
      <c r="L124" s="262">
        <f t="shared" si="1"/>
        <v>10000</v>
      </c>
      <c r="M124" s="263">
        <v>295000</v>
      </c>
      <c r="N124" s="263">
        <f t="shared" si="2"/>
        <v>0</v>
      </c>
      <c r="O124" s="263">
        <f>K113+K57</f>
        <v>30487062.579999998</v>
      </c>
      <c r="P124" s="263">
        <f>26197445.1+4612932.48</f>
        <v>30810377.580000002</v>
      </c>
      <c r="Q124" s="263" t="s">
        <v>687</v>
      </c>
      <c r="R124" s="260"/>
      <c r="S124" s="260"/>
      <c r="T124" s="260"/>
      <c r="U124" s="260"/>
    </row>
    <row r="125" spans="1:21" s="280" customFormat="1" ht="15" customHeight="1" x14ac:dyDescent="0.25">
      <c r="A125" s="270" t="s">
        <v>204</v>
      </c>
      <c r="B125" s="270">
        <v>1003</v>
      </c>
      <c r="C125" s="269">
        <v>7444275240</v>
      </c>
      <c r="D125" s="270">
        <v>313</v>
      </c>
      <c r="E125" s="270" t="s">
        <v>688</v>
      </c>
      <c r="F125" s="275">
        <v>216930</v>
      </c>
      <c r="G125" s="259"/>
      <c r="H125" s="259">
        <v>85565.94</v>
      </c>
      <c r="I125" s="259">
        <f t="shared" si="0"/>
        <v>0</v>
      </c>
      <c r="J125" s="261">
        <v>85565.94</v>
      </c>
      <c r="K125" s="259"/>
      <c r="L125" s="278">
        <f t="shared" si="1"/>
        <v>85565.94</v>
      </c>
      <c r="M125" s="279"/>
      <c r="N125" s="263">
        <f t="shared" si="2"/>
        <v>0</v>
      </c>
      <c r="O125" s="263"/>
      <c r="P125" s="263">
        <f>P124*2/100</f>
        <v>616207.55160000001</v>
      </c>
      <c r="Q125" s="263"/>
      <c r="R125" s="259"/>
      <c r="S125" s="259"/>
      <c r="T125" s="259"/>
      <c r="U125" s="259"/>
    </row>
    <row r="126" spans="1:21" s="280" customFormat="1" ht="15" customHeight="1" x14ac:dyDescent="0.25">
      <c r="A126" s="270">
        <v>918</v>
      </c>
      <c r="B126" s="270">
        <v>1004</v>
      </c>
      <c r="C126" s="269">
        <v>7411175360</v>
      </c>
      <c r="D126" s="270">
        <v>244</v>
      </c>
      <c r="E126" s="270" t="s">
        <v>689</v>
      </c>
      <c r="F126" s="275"/>
      <c r="G126" s="259"/>
      <c r="H126" s="281">
        <v>173981</v>
      </c>
      <c r="I126" s="259">
        <f t="shared" si="0"/>
        <v>0</v>
      </c>
      <c r="J126" s="259">
        <v>173981</v>
      </c>
      <c r="K126" s="259">
        <v>128098.14</v>
      </c>
      <c r="L126" s="278">
        <f t="shared" si="1"/>
        <v>45882.86</v>
      </c>
      <c r="M126" s="266">
        <v>128098.14</v>
      </c>
      <c r="N126" s="263">
        <f t="shared" si="2"/>
        <v>0</v>
      </c>
      <c r="O126" s="263"/>
      <c r="P126" s="263">
        <f>P124-P125</f>
        <v>30194170.0284</v>
      </c>
      <c r="Q126" s="263"/>
      <c r="R126" s="259"/>
      <c r="S126" s="259"/>
      <c r="T126" s="259"/>
      <c r="U126" s="259"/>
    </row>
    <row r="127" spans="1:21" s="280" customFormat="1" ht="15" customHeight="1" x14ac:dyDescent="0.25">
      <c r="A127" s="270">
        <v>918</v>
      </c>
      <c r="B127" s="270">
        <v>1004</v>
      </c>
      <c r="C127" s="269">
        <v>7411175360</v>
      </c>
      <c r="D127" s="270">
        <v>612</v>
      </c>
      <c r="E127" s="270" t="s">
        <v>689</v>
      </c>
      <c r="F127" s="275"/>
      <c r="G127" s="259"/>
      <c r="H127" s="259">
        <v>198441.36</v>
      </c>
      <c r="I127" s="259">
        <f t="shared" si="0"/>
        <v>0</v>
      </c>
      <c r="J127" s="261">
        <v>198441.36</v>
      </c>
      <c r="K127" s="259">
        <v>154576.38</v>
      </c>
      <c r="L127" s="278">
        <f t="shared" si="1"/>
        <v>43864.979999999981</v>
      </c>
      <c r="M127" s="279">
        <v>154576.38</v>
      </c>
      <c r="N127" s="263">
        <f t="shared" si="2"/>
        <v>0</v>
      </c>
      <c r="O127" s="263"/>
      <c r="P127" s="263"/>
      <c r="Q127" s="263"/>
      <c r="R127" s="259"/>
      <c r="S127" s="259"/>
      <c r="T127" s="259"/>
      <c r="U127" s="259"/>
    </row>
    <row r="128" spans="1:21" s="280" customFormat="1" ht="15" customHeight="1" x14ac:dyDescent="0.25">
      <c r="A128" s="270">
        <v>918</v>
      </c>
      <c r="B128" s="270">
        <v>1004</v>
      </c>
      <c r="C128" s="269">
        <v>7411175360</v>
      </c>
      <c r="D128" s="270">
        <v>622</v>
      </c>
      <c r="E128" s="270" t="s">
        <v>689</v>
      </c>
      <c r="F128" s="275"/>
      <c r="G128" s="259"/>
      <c r="H128" s="259">
        <v>62477.64</v>
      </c>
      <c r="I128" s="259">
        <f t="shared" si="0"/>
        <v>0</v>
      </c>
      <c r="J128" s="261">
        <v>62477.64</v>
      </c>
      <c r="K128" s="259">
        <v>44931.86</v>
      </c>
      <c r="L128" s="278">
        <f t="shared" si="1"/>
        <v>17545.78</v>
      </c>
      <c r="M128" s="279">
        <v>44931.86</v>
      </c>
      <c r="N128" s="263">
        <f t="shared" si="2"/>
        <v>0</v>
      </c>
      <c r="O128" s="263"/>
      <c r="P128" s="263">
        <f>H113+H114+H57+H58+194222.6+1071862.4+H115+H59+3963.72+21874.74</f>
        <v>37121091.82</v>
      </c>
      <c r="Q128" s="263"/>
      <c r="R128" s="259"/>
      <c r="S128" s="259"/>
      <c r="T128" s="259"/>
      <c r="U128" s="259"/>
    </row>
    <row r="129" spans="1:24" s="280" customFormat="1" ht="15" customHeight="1" x14ac:dyDescent="0.25">
      <c r="A129" s="270">
        <v>918</v>
      </c>
      <c r="B129" s="270">
        <v>1004</v>
      </c>
      <c r="C129" s="269">
        <v>7411175370</v>
      </c>
      <c r="D129" s="270">
        <v>323</v>
      </c>
      <c r="E129" s="270" t="s">
        <v>690</v>
      </c>
      <c r="F129" s="275"/>
      <c r="G129" s="259"/>
      <c r="H129" s="281">
        <v>17394600</v>
      </c>
      <c r="I129" s="259">
        <f t="shared" si="0"/>
        <v>0</v>
      </c>
      <c r="J129" s="259">
        <v>17394600</v>
      </c>
      <c r="K129" s="259">
        <v>14270207.119999999</v>
      </c>
      <c r="L129" s="278">
        <f t="shared" si="1"/>
        <v>3124392.8800000008</v>
      </c>
      <c r="M129" s="266">
        <v>14269512.359999999</v>
      </c>
      <c r="N129" s="263">
        <f t="shared" si="2"/>
        <v>694.75999999977648</v>
      </c>
      <c r="O129" s="263"/>
      <c r="P129" s="263"/>
      <c r="Q129" s="263"/>
      <c r="R129" s="259"/>
      <c r="S129" s="259"/>
      <c r="T129" s="259"/>
      <c r="U129" s="259"/>
    </row>
    <row r="130" spans="1:24" s="280" customFormat="1" ht="15" customHeight="1" x14ac:dyDescent="0.25">
      <c r="A130" s="270">
        <v>918</v>
      </c>
      <c r="B130" s="270">
        <v>1004</v>
      </c>
      <c r="C130" s="269">
        <v>7444275340</v>
      </c>
      <c r="D130" s="270">
        <v>321</v>
      </c>
      <c r="E130" s="270" t="s">
        <v>691</v>
      </c>
      <c r="F130" s="275"/>
      <c r="G130" s="259"/>
      <c r="H130" s="259">
        <v>422600</v>
      </c>
      <c r="I130" s="259">
        <f t="shared" si="0"/>
        <v>0</v>
      </c>
      <c r="J130" s="261">
        <v>422600</v>
      </c>
      <c r="K130" s="259">
        <v>404972.76</v>
      </c>
      <c r="L130" s="278">
        <f t="shared" si="1"/>
        <v>17627.239999999991</v>
      </c>
      <c r="M130" s="279">
        <v>404972.76</v>
      </c>
      <c r="N130" s="263">
        <f t="shared" si="2"/>
        <v>0</v>
      </c>
      <c r="O130" s="263"/>
      <c r="P130" s="263">
        <f>H113+H114+H57+H58</f>
        <v>35112585</v>
      </c>
      <c r="Q130" s="263"/>
      <c r="R130" s="259"/>
      <c r="S130" s="259"/>
      <c r="T130" s="259"/>
      <c r="U130" s="259"/>
    </row>
    <row r="131" spans="1:24" s="280" customFormat="1" ht="15" customHeight="1" x14ac:dyDescent="0.25">
      <c r="A131" s="270">
        <v>918</v>
      </c>
      <c r="B131" s="270">
        <v>1004</v>
      </c>
      <c r="C131" s="269">
        <v>7444275340</v>
      </c>
      <c r="D131" s="270">
        <v>323</v>
      </c>
      <c r="E131" s="270" t="s">
        <v>691</v>
      </c>
      <c r="F131" s="275"/>
      <c r="G131" s="259"/>
      <c r="H131" s="259">
        <v>15432200</v>
      </c>
      <c r="I131" s="259">
        <f t="shared" si="0"/>
        <v>0</v>
      </c>
      <c r="J131" s="261">
        <v>15432200</v>
      </c>
      <c r="K131" s="259">
        <v>15114764.630000001</v>
      </c>
      <c r="L131" s="278">
        <f t="shared" si="1"/>
        <v>317435.36999999918</v>
      </c>
      <c r="M131" s="279">
        <v>15114764.630000001</v>
      </c>
      <c r="N131" s="263">
        <f t="shared" si="2"/>
        <v>0</v>
      </c>
      <c r="O131" s="263"/>
      <c r="P131" s="263">
        <f>H113+H114+H57+H58</f>
        <v>35112585</v>
      </c>
      <c r="Q131" s="263"/>
      <c r="R131" s="259"/>
      <c r="S131" s="259"/>
      <c r="T131" s="259"/>
      <c r="U131" s="259"/>
    </row>
    <row r="132" spans="1:24" s="280" customFormat="1" ht="15" customHeight="1" x14ac:dyDescent="0.25">
      <c r="A132" s="270">
        <v>918</v>
      </c>
      <c r="B132" s="270">
        <v>1004</v>
      </c>
      <c r="C132" s="269">
        <v>7444275350</v>
      </c>
      <c r="D132" s="270">
        <v>323</v>
      </c>
      <c r="E132" s="270" t="s">
        <v>692</v>
      </c>
      <c r="F132" s="275"/>
      <c r="G132" s="259"/>
      <c r="H132" s="259">
        <v>519500</v>
      </c>
      <c r="I132" s="259">
        <f t="shared" si="0"/>
        <v>0</v>
      </c>
      <c r="J132" s="261">
        <v>519500</v>
      </c>
      <c r="K132" s="259">
        <v>464755.22</v>
      </c>
      <c r="L132" s="278">
        <f t="shared" si="1"/>
        <v>54744.780000000028</v>
      </c>
      <c r="M132" s="279">
        <v>464755.22</v>
      </c>
      <c r="N132" s="263">
        <f t="shared" si="2"/>
        <v>0</v>
      </c>
      <c r="O132" s="263"/>
      <c r="P132" s="263">
        <f>P131+194222.6+1071862.4</f>
        <v>36378670</v>
      </c>
      <c r="Q132" s="263"/>
      <c r="R132" s="259"/>
      <c r="S132" s="259"/>
      <c r="T132" s="259"/>
      <c r="U132" s="259"/>
    </row>
    <row r="133" spans="1:24" s="280" customFormat="1" ht="15" customHeight="1" x14ac:dyDescent="0.25">
      <c r="A133" s="270" t="s">
        <v>204</v>
      </c>
      <c r="B133" s="270">
        <v>1004</v>
      </c>
      <c r="C133" s="269">
        <v>7444275340</v>
      </c>
      <c r="D133" s="270">
        <v>313</v>
      </c>
      <c r="E133" s="270" t="s">
        <v>691</v>
      </c>
      <c r="F133" s="275">
        <v>56470</v>
      </c>
      <c r="G133" s="259"/>
      <c r="H133" s="259">
        <v>17740800</v>
      </c>
      <c r="I133" s="259">
        <f t="shared" si="0"/>
        <v>0</v>
      </c>
      <c r="J133" s="261">
        <v>17740800</v>
      </c>
      <c r="K133" s="259">
        <v>17403725.780000001</v>
      </c>
      <c r="L133" s="278">
        <f t="shared" si="1"/>
        <v>337074.21999999881</v>
      </c>
      <c r="M133" s="279">
        <v>17403725.780000001</v>
      </c>
      <c r="N133" s="263">
        <f t="shared" si="2"/>
        <v>0</v>
      </c>
      <c r="O133" s="263"/>
      <c r="P133" s="263"/>
      <c r="Q133" s="263"/>
      <c r="R133" s="259"/>
      <c r="S133" s="259"/>
      <c r="T133" s="259"/>
      <c r="U133" s="259"/>
    </row>
    <row r="134" spans="1:24" s="280" customFormat="1" ht="15" customHeight="1" x14ac:dyDescent="0.25">
      <c r="A134" s="270">
        <v>918</v>
      </c>
      <c r="B134" s="270">
        <v>1006</v>
      </c>
      <c r="C134" s="269">
        <v>7444275520</v>
      </c>
      <c r="D134" s="270">
        <v>121</v>
      </c>
      <c r="E134" s="270" t="s">
        <v>693</v>
      </c>
      <c r="F134" s="275"/>
      <c r="G134" s="259"/>
      <c r="H134" s="259">
        <v>4837003</v>
      </c>
      <c r="I134" s="259">
        <f t="shared" si="0"/>
        <v>0</v>
      </c>
      <c r="J134" s="261">
        <v>4837003</v>
      </c>
      <c r="K134" s="259">
        <v>4837003</v>
      </c>
      <c r="L134" s="278">
        <f t="shared" si="1"/>
        <v>0</v>
      </c>
      <c r="M134" s="279">
        <v>4837003</v>
      </c>
      <c r="N134" s="263">
        <f>K134-M134</f>
        <v>0</v>
      </c>
      <c r="O134" s="263"/>
      <c r="P134" s="263"/>
      <c r="Q134" s="263"/>
      <c r="R134" s="259"/>
      <c r="S134" s="259"/>
      <c r="T134" s="259"/>
      <c r="U134" s="259"/>
    </row>
    <row r="135" spans="1:24" s="280" customFormat="1" ht="15" customHeight="1" x14ac:dyDescent="0.25">
      <c r="A135" s="270">
        <v>918</v>
      </c>
      <c r="B135" s="270">
        <v>1006</v>
      </c>
      <c r="C135" s="269">
        <v>7444275520</v>
      </c>
      <c r="D135" s="270">
        <v>122</v>
      </c>
      <c r="E135" s="270" t="s">
        <v>693</v>
      </c>
      <c r="F135" s="275"/>
      <c r="G135" s="259"/>
      <c r="H135" s="259">
        <v>69850</v>
      </c>
      <c r="I135" s="259">
        <f t="shared" si="0"/>
        <v>0</v>
      </c>
      <c r="J135" s="261">
        <v>69850</v>
      </c>
      <c r="K135" s="259">
        <v>12986.9</v>
      </c>
      <c r="L135" s="278">
        <f t="shared" si="1"/>
        <v>56863.1</v>
      </c>
      <c r="M135" s="279">
        <v>12986.9</v>
      </c>
      <c r="N135" s="263">
        <f>K135-M135</f>
        <v>0</v>
      </c>
      <c r="O135" s="263"/>
      <c r="P135" s="263"/>
      <c r="Q135" s="263"/>
      <c r="R135" s="259"/>
      <c r="S135" s="259"/>
      <c r="T135" s="259"/>
      <c r="U135" s="259"/>
    </row>
    <row r="136" spans="1:24" s="280" customFormat="1" ht="15" customHeight="1" x14ac:dyDescent="0.25">
      <c r="A136" s="270">
        <v>918</v>
      </c>
      <c r="B136" s="270">
        <v>1006</v>
      </c>
      <c r="C136" s="269">
        <v>7444275520</v>
      </c>
      <c r="D136" s="270">
        <v>129</v>
      </c>
      <c r="E136" s="270" t="s">
        <v>693</v>
      </c>
      <c r="F136" s="275"/>
      <c r="G136" s="259"/>
      <c r="H136" s="259">
        <v>1521174.91</v>
      </c>
      <c r="I136" s="259">
        <f t="shared" si="0"/>
        <v>0</v>
      </c>
      <c r="J136" s="261">
        <v>1521174.91</v>
      </c>
      <c r="K136" s="259">
        <v>1474264.49</v>
      </c>
      <c r="L136" s="278">
        <f t="shared" si="1"/>
        <v>46910.419999999925</v>
      </c>
      <c r="M136" s="279">
        <v>1474264.49</v>
      </c>
      <c r="N136" s="263">
        <f>K136-M136</f>
        <v>0</v>
      </c>
      <c r="O136" s="263"/>
      <c r="P136" s="263"/>
      <c r="Q136" s="263"/>
      <c r="R136" s="259"/>
      <c r="S136" s="259"/>
      <c r="T136" s="259"/>
      <c r="U136" s="259"/>
    </row>
    <row r="137" spans="1:24" s="280" customFormat="1" ht="15" customHeight="1" x14ac:dyDescent="0.25">
      <c r="A137" s="270">
        <v>918</v>
      </c>
      <c r="B137" s="270">
        <v>1006</v>
      </c>
      <c r="C137" s="269">
        <v>7444275520</v>
      </c>
      <c r="D137" s="270">
        <v>244</v>
      </c>
      <c r="E137" s="270" t="s">
        <v>693</v>
      </c>
      <c r="F137" s="275"/>
      <c r="G137" s="259"/>
      <c r="H137" s="259">
        <v>999972.09</v>
      </c>
      <c r="I137" s="259">
        <f t="shared" si="0"/>
        <v>0</v>
      </c>
      <c r="J137" s="261">
        <v>999972.09</v>
      </c>
      <c r="K137" s="259">
        <v>984550.8</v>
      </c>
      <c r="L137" s="278">
        <f t="shared" si="1"/>
        <v>15421.289999999921</v>
      </c>
      <c r="M137" s="279">
        <v>984550.8</v>
      </c>
      <c r="N137" s="263">
        <f>K137-M137</f>
        <v>0</v>
      </c>
      <c r="O137" s="263"/>
      <c r="P137" s="263"/>
      <c r="Q137" s="263"/>
      <c r="R137" s="259"/>
      <c r="S137" s="259"/>
      <c r="T137" s="259"/>
      <c r="U137" s="259"/>
    </row>
    <row r="138" spans="1:24" s="280" customFormat="1" ht="15" customHeight="1" x14ac:dyDescent="0.25">
      <c r="A138" s="282">
        <v>918</v>
      </c>
      <c r="B138" s="282">
        <v>1006</v>
      </c>
      <c r="C138" s="283">
        <v>7444275520</v>
      </c>
      <c r="D138" s="282">
        <v>247</v>
      </c>
      <c r="E138" s="282" t="s">
        <v>693</v>
      </c>
      <c r="F138" s="284"/>
      <c r="G138" s="259"/>
      <c r="H138" s="259">
        <v>90000</v>
      </c>
      <c r="I138" s="259">
        <f t="shared" si="0"/>
        <v>0</v>
      </c>
      <c r="J138" s="261">
        <v>90000</v>
      </c>
      <c r="K138" s="259">
        <v>41072.85</v>
      </c>
      <c r="L138" s="278">
        <f t="shared" si="1"/>
        <v>48927.15</v>
      </c>
      <c r="M138" s="279">
        <v>41072.85</v>
      </c>
      <c r="N138" s="263">
        <f>K138-M138</f>
        <v>0</v>
      </c>
      <c r="O138" s="263"/>
      <c r="P138" s="263"/>
      <c r="Q138" s="263"/>
      <c r="R138" s="259"/>
      <c r="S138" s="259"/>
      <c r="T138" s="259"/>
      <c r="U138" s="259"/>
    </row>
    <row r="139" spans="1:24" ht="15" customHeight="1" x14ac:dyDescent="0.25">
      <c r="A139" s="285"/>
      <c r="B139" s="285"/>
      <c r="C139" s="285"/>
      <c r="D139" s="285"/>
      <c r="E139" s="286"/>
      <c r="F139" s="287">
        <f>SUM(F3:F137)</f>
        <v>662805129.09000003</v>
      </c>
      <c r="G139" s="287">
        <f>SUM(G3:G137)</f>
        <v>0</v>
      </c>
      <c r="H139" s="287">
        <f>SUM(H3:H138)</f>
        <v>1943251100.4300003</v>
      </c>
      <c r="I139" s="287">
        <f t="shared" ref="I139:N139" si="4">SUM(I3:I138)</f>
        <v>0</v>
      </c>
      <c r="J139" s="287">
        <f>SUM(J3:J138)</f>
        <v>1943251100.4300003</v>
      </c>
      <c r="K139" s="287">
        <f>SUM(K3:K138)</f>
        <v>1922387330.3200004</v>
      </c>
      <c r="L139" s="287">
        <f t="shared" si="4"/>
        <v>20863770.110000007</v>
      </c>
      <c r="M139" s="287">
        <f>SUM(M3:M138)</f>
        <v>1918915496.6800005</v>
      </c>
      <c r="N139" s="287">
        <f t="shared" si="4"/>
        <v>3471833.6399999959</v>
      </c>
      <c r="O139" s="287"/>
      <c r="P139" s="287"/>
      <c r="Q139" s="287">
        <f>1109723910.63</f>
        <v>1109723910.6300001</v>
      </c>
      <c r="R139" s="287">
        <f>M139-M129-M126</f>
        <v>1904517886.1800005</v>
      </c>
      <c r="S139" s="260"/>
      <c r="T139" s="260"/>
      <c r="U139" s="260"/>
    </row>
    <row r="140" spans="1:24" ht="24" customHeight="1" x14ac:dyDescent="0.25">
      <c r="E140" s="288"/>
      <c r="F140" s="260">
        <f>1575315075.34+200185+20021000-F139</f>
        <v>932731131.24999988</v>
      </c>
      <c r="G140" s="259"/>
      <c r="H140" s="260">
        <f>1925682519.43+173981+17394600-H139</f>
        <v>0</v>
      </c>
      <c r="I140" s="260"/>
      <c r="J140" s="260">
        <f>1907856153.49+17826365.94+173981+17394600-J139</f>
        <v>0</v>
      </c>
      <c r="K140" s="260">
        <f>1907989025.06-K139+14270207.12+128098.14</f>
        <v>-4.6812056098133326E-7</v>
      </c>
      <c r="L140" s="260"/>
      <c r="M140" s="263">
        <f>1904517886.18-M139+14269512.36+128098.14</f>
        <v>-4.7743378672748804E-7</v>
      </c>
      <c r="N140" s="263">
        <f>3471138.88+694.76</f>
        <v>3471833.6399999997</v>
      </c>
      <c r="O140" s="263"/>
      <c r="P140" s="263"/>
      <c r="Q140" s="263"/>
      <c r="R140" s="260"/>
      <c r="S140" s="259"/>
      <c r="T140" s="260"/>
      <c r="U140" s="260"/>
    </row>
    <row r="141" spans="1:24" x14ac:dyDescent="0.25">
      <c r="C141" s="289" t="s">
        <v>694</v>
      </c>
      <c r="F141" s="290" t="e">
        <f>F74+#REF!+#REF!+#REF!+#REF!+#REF!+#REF!+#REF!+#REF!+#REF!+#REF!+#REF!+#REF!+#REF!+#REF!+#REF!+#REF!+#REF!+#REF!+#REF!+#REF!+#REF!+#REF!+#REF!+#REF!+#REF!+#REF!+#REF!+#REF!+#REF!+#REF!+#REF!+#REF!+F66+F72+F93+#REF!+#REF!+#REF!+#REF!+F71+F73+F75+F94+#REF!+#REF!+#REF!+#REF!+#REF!+#REF!+#REF!+#REF!+#REF!+#REF!+#REF!+#REF!</f>
        <v>#REF!</v>
      </c>
      <c r="G141" s="290"/>
      <c r="H141" s="290">
        <f>H15+H16+H17+H18+H33+H34+H35+H36+H37+H38+H39+H53+H54+H55+H56+H57+H58+H72+H73+H80+H86+H87+H90+H97+H98+H103+H110+H109+H111+H112+H113+H114+H120+H121+H122+H123+H124+H125+H126+H127+H128+H129+H130+H131+H132+H133+H134+H135+H136+H137+H138+H41+H42+H47+H48+H82+H26</f>
        <v>1231508048.1600001</v>
      </c>
      <c r="I141" s="290">
        <f t="shared" ref="I141:N141" si="5">I15+I16+I17+I18+I33+I34+I35+I36+I37+I38+I39+I53+I54+I55+I56+I57+I58+I72+I73+I80+I86+I87+I90+I97+I98+I103+I110+I109+I111+I112+I113+I114+I120+I121+I122+I123+I124+I125+I126+I127+I128+I129+I130+I131+I132+I133+I134+I135+I136+I137+I138+I41+I42+I47+I48+I82+I26</f>
        <v>0</v>
      </c>
      <c r="J141" s="290">
        <f t="shared" si="5"/>
        <v>1231508048.1600001</v>
      </c>
      <c r="K141" s="290">
        <f t="shared" si="5"/>
        <v>1211586837.3500001</v>
      </c>
      <c r="L141" s="290">
        <f t="shared" si="5"/>
        <v>19921210.810000006</v>
      </c>
      <c r="M141" s="290">
        <f t="shared" si="5"/>
        <v>1208124779.04</v>
      </c>
      <c r="N141" s="290">
        <f t="shared" si="5"/>
        <v>3462058.3099999968</v>
      </c>
      <c r="O141" s="290"/>
      <c r="P141" s="290"/>
      <c r="Q141" s="261"/>
      <c r="R141" s="261"/>
      <c r="S141" s="261"/>
      <c r="T141" s="261"/>
      <c r="U141" s="261"/>
      <c r="V141" s="261"/>
      <c r="W141" s="261"/>
      <c r="X141" s="261"/>
    </row>
    <row r="142" spans="1:24" ht="16.5" customHeight="1" x14ac:dyDescent="0.25">
      <c r="C142" s="247" t="s">
        <v>695</v>
      </c>
      <c r="F142" s="260"/>
      <c r="G142" s="260"/>
      <c r="H142" s="260"/>
      <c r="I142" s="260"/>
      <c r="J142" s="260"/>
      <c r="K142" s="260"/>
      <c r="L142" s="260"/>
      <c r="M142" s="260"/>
      <c r="N142" s="260"/>
      <c r="O142" s="260"/>
      <c r="P142" s="260"/>
      <c r="Q142" s="261"/>
      <c r="R142" s="261"/>
      <c r="S142" s="261"/>
      <c r="T142" s="260"/>
      <c r="U142" s="260"/>
    </row>
    <row r="143" spans="1:24" x14ac:dyDescent="0.25">
      <c r="C143" s="291" t="s">
        <v>696</v>
      </c>
      <c r="F143" s="292" t="e">
        <f>F3+F4+F6+F7+F8+F15+F16+F17+F18+F19+F22+F27+F39+F51+F54+F61+F64+F84+F86+F88+F90+F116+F125+#REF!+#REF!+#REF!+#REF!+#REF!+#REF!+#REF!+#REF!+#REF!+#REF!+#REF!+#REF!+#REF!+#REF!+#REF!+#REF!+#REF!+#REF!+#REF!+#REF!+#REF!+#REF!+#REF!+#REF!+#REF!+#REF!+#REF!+#REF!+#REF!+#REF!+#REF!+#REF!+#REF!+#REF!+#REF!+#REF!+#REF!+#REF!+#REF!+#REF!+#REF!+#REF!+#REF!+#REF!+#REF!+#REF!+#REF!+#REF!+#REF!+#REF!+F60+F76+F20+F40+F104+#REF!+#REF!+#REF!+#REF!+#REF!+#REF!+#REF!+#REF!+#REF!+#REF!+F5+F118+#REF!+F28+F35+F38+#REF!+F9+F10+F21+F77+F85+F87+F89+F91+F105+#REF!+#REF!+#REF!+#REF!+#REF!+#REF!+#REF!+#REF!+#REF!+#REF!+F117+#REF!+#REF!+#REF!+#REF!+#REF!+#REF!+F99+F100+#REF!+#REF!+#REF!+#REF!+#REF!+#REF!+#REF!+#REF!+#REF!+#REF!+#REF!+F92+F133+#REF!+#REF!+#REF!+#REF!+#REF!+#REF!+#REF!</f>
        <v>#REF!</v>
      </c>
      <c r="G143" s="292"/>
      <c r="H143" s="292">
        <f>H3+H4+H5+H6+H7+H8+H9+H10+H11+H12+H19+H20+H21+H22+H23+H27+H28+H29+H30+H40+H43+H45+H51+H59+H60+H61+H62+H63+H64+H65+H66+H67+H68+H69+H71+H74+H75+H76+H77+H81+H84+H85+H88+H89+H91+H92+H93+H94+H95+H96+H99+H100+H101+H102+H104+H105+H106+H107+H115+H116+H117+H118+H119+H24+H25+H46+H49+H50+H44+H32+H83+H13+H14+H31+H108+H70+H52+H78+H79</f>
        <v>711743052.2700001</v>
      </c>
      <c r="I143" s="292">
        <f t="shared" ref="I143:N143" si="6">I3+I4+I5+I6+I7+I8+I9+I10+I11+I12+I19+I20+I21+I22+I23+I27+I28+I29+I30+I40+I43+I45+I51+I59+I60+I61+I62+I63+I64+I65+I66+I67+I68+I69+I71+I74+I75+I76+I77+I81+I84+I85+I88+I89+I91+I92+I93+I94+I95+I96+I99+I100+I101+I102+I104+I105+I106+I107+I115+I116+I117+I118+I119+I24+I25+I46+I49+I50+I44+I32+I83+I13+I14+I31+I108+I70+I52+I78+I79</f>
        <v>0</v>
      </c>
      <c r="J143" s="292">
        <f t="shared" si="6"/>
        <v>711743052.2700001</v>
      </c>
      <c r="K143" s="292">
        <f t="shared" si="6"/>
        <v>710800492.96999979</v>
      </c>
      <c r="L143" s="292">
        <f t="shared" si="6"/>
        <v>942559.3</v>
      </c>
      <c r="M143" s="292">
        <f t="shared" si="6"/>
        <v>710790717.63999987</v>
      </c>
      <c r="N143" s="292">
        <f t="shared" si="6"/>
        <v>9775.3299999998562</v>
      </c>
      <c r="O143" s="292"/>
      <c r="P143" s="292"/>
      <c r="Q143" s="261"/>
      <c r="R143" s="261"/>
      <c r="S143" s="261"/>
      <c r="T143" s="261"/>
      <c r="U143" s="261"/>
      <c r="V143" s="261"/>
      <c r="W143" s="261"/>
    </row>
    <row r="144" spans="1:24" ht="14.25" customHeight="1" x14ac:dyDescent="0.25">
      <c r="F144" s="260"/>
      <c r="G144" s="259"/>
      <c r="H144" s="260"/>
      <c r="I144" s="260"/>
      <c r="J144" s="260"/>
      <c r="K144" s="260"/>
      <c r="L144" s="260"/>
      <c r="M144" s="260"/>
      <c r="N144" s="260"/>
      <c r="O144" s="260"/>
      <c r="P144" s="260"/>
      <c r="Q144" s="260"/>
      <c r="R144" s="260"/>
      <c r="S144" s="261"/>
      <c r="T144" s="260"/>
      <c r="U144" s="260"/>
    </row>
    <row r="145" spans="3:21" x14ac:dyDescent="0.25">
      <c r="C145" s="247" t="s">
        <v>697</v>
      </c>
      <c r="F145" s="260" t="e">
        <f t="shared" ref="F145:N145" si="7">F141+F143</f>
        <v>#REF!</v>
      </c>
      <c r="G145" s="260">
        <f t="shared" si="7"/>
        <v>0</v>
      </c>
      <c r="H145" s="260">
        <f>H141+H143</f>
        <v>1943251100.4300003</v>
      </c>
      <c r="I145" s="260">
        <f t="shared" si="7"/>
        <v>0</v>
      </c>
      <c r="J145" s="260">
        <f t="shared" si="7"/>
        <v>1943251100.4300003</v>
      </c>
      <c r="K145" s="260">
        <f t="shared" si="7"/>
        <v>1922387330.3199999</v>
      </c>
      <c r="L145" s="260">
        <f t="shared" si="7"/>
        <v>20863770.110000007</v>
      </c>
      <c r="M145" s="260">
        <f t="shared" si="7"/>
        <v>1918915496.6799998</v>
      </c>
      <c r="N145" s="260">
        <f t="shared" si="7"/>
        <v>3471833.6399999969</v>
      </c>
      <c r="O145" s="260"/>
      <c r="P145" s="260"/>
      <c r="Q145" s="260"/>
      <c r="R145" s="260"/>
      <c r="S145" s="261"/>
      <c r="T145" s="260"/>
      <c r="U145" s="260"/>
    </row>
    <row r="146" spans="3:21" x14ac:dyDescent="0.25">
      <c r="F146" s="260"/>
      <c r="G146" s="260"/>
      <c r="H146" s="260"/>
      <c r="I146" s="260"/>
      <c r="J146" s="260"/>
      <c r="K146" s="260"/>
      <c r="L146" s="260"/>
      <c r="M146" s="260">
        <f>SUM(M3:M138)-M8-M80-M81-M82-M83</f>
        <v>1899168789.4300005</v>
      </c>
      <c r="N146" s="260"/>
      <c r="O146" s="260"/>
      <c r="P146" s="260"/>
      <c r="Q146" s="260"/>
      <c r="R146" s="260"/>
      <c r="S146" s="261"/>
      <c r="T146" s="260"/>
      <c r="U146" s="260"/>
    </row>
    <row r="147" spans="3:21" x14ac:dyDescent="0.25">
      <c r="F147" s="260" t="e">
        <f t="shared" ref="F147:N147" si="8">F139-F145</f>
        <v>#REF!</v>
      </c>
      <c r="G147" s="260">
        <f t="shared" si="8"/>
        <v>0</v>
      </c>
      <c r="H147" s="260">
        <f t="shared" si="8"/>
        <v>0</v>
      </c>
      <c r="I147" s="260">
        <f t="shared" si="8"/>
        <v>0</v>
      </c>
      <c r="J147" s="260">
        <f t="shared" si="8"/>
        <v>0</v>
      </c>
      <c r="K147" s="260">
        <f t="shared" si="8"/>
        <v>0</v>
      </c>
      <c r="L147" s="260">
        <f t="shared" si="8"/>
        <v>0</v>
      </c>
      <c r="M147" s="260">
        <f t="shared" si="8"/>
        <v>0</v>
      </c>
      <c r="N147" s="260">
        <f t="shared" si="8"/>
        <v>0</v>
      </c>
      <c r="O147" s="260"/>
      <c r="P147" s="260"/>
      <c r="Q147" s="260"/>
      <c r="R147" s="260"/>
      <c r="S147" s="260"/>
      <c r="T147" s="260"/>
      <c r="U147" s="260"/>
    </row>
    <row r="148" spans="3:21" x14ac:dyDescent="0.25">
      <c r="F148" s="260"/>
      <c r="G148" s="260"/>
      <c r="H148" s="260"/>
      <c r="I148" s="260"/>
      <c r="J148" s="260"/>
      <c r="K148" s="260"/>
      <c r="L148" s="260"/>
      <c r="M148" s="260"/>
      <c r="N148" s="260"/>
      <c r="O148" s="260"/>
      <c r="P148" s="260"/>
      <c r="Q148" s="260"/>
      <c r="R148" s="260"/>
      <c r="S148" s="260"/>
      <c r="T148" s="260"/>
      <c r="U148" s="260"/>
    </row>
    <row r="149" spans="3:21" x14ac:dyDescent="0.25">
      <c r="F149" s="260"/>
      <c r="G149" s="260"/>
      <c r="H149" s="260">
        <f>H58+H114</f>
        <v>10182650</v>
      </c>
      <c r="I149" s="260">
        <f>'[11]табл.8 уточнение 2021 04.02. '!F415</f>
        <v>14640050</v>
      </c>
      <c r="J149" s="260">
        <f>I149-H149</f>
        <v>4457400</v>
      </c>
      <c r="K149" s="260"/>
      <c r="L149" s="260"/>
      <c r="M149" s="260"/>
      <c r="N149" s="260"/>
      <c r="O149" s="260"/>
      <c r="P149" s="260"/>
      <c r="Q149" s="260"/>
      <c r="R149" s="260">
        <f>K145-1119084982.36</f>
        <v>803302347.96000004</v>
      </c>
      <c r="S149" s="260"/>
      <c r="T149" s="260"/>
      <c r="U149" s="260"/>
    </row>
    <row r="150" spans="3:21" x14ac:dyDescent="0.25">
      <c r="C150" s="293" t="s">
        <v>698</v>
      </c>
      <c r="H150" s="260">
        <f>H151+H152</f>
        <v>19787240.289999999</v>
      </c>
      <c r="I150" s="260"/>
      <c r="J150" s="260">
        <f>J151+J152</f>
        <v>19787240.289999999</v>
      </c>
      <c r="K150" s="260">
        <f>K151+K152</f>
        <v>19778776.57</v>
      </c>
      <c r="L150" s="260">
        <f>L151+L152</f>
        <v>8463.7199999999721</v>
      </c>
      <c r="M150" s="260">
        <f>M151+M152</f>
        <v>19778776.57</v>
      </c>
      <c r="N150" s="260">
        <f>N151+N152</f>
        <v>0</v>
      </c>
      <c r="O150" s="260"/>
      <c r="P150" s="260"/>
      <c r="Q150" s="260"/>
      <c r="R150" s="260">
        <f>K141-707877194.11</f>
        <v>503709643.24000013</v>
      </c>
      <c r="S150" s="260"/>
    </row>
    <row r="151" spans="3:21" x14ac:dyDescent="0.25">
      <c r="C151" s="293" t="s">
        <v>699</v>
      </c>
      <c r="H151" s="260">
        <f>H3+H4+H5+H6+H7+H8</f>
        <v>19787240.289999999</v>
      </c>
      <c r="I151" s="260">
        <f t="shared" ref="I151:N151" si="9">I3+I4+I5+I6+I7+I8</f>
        <v>0</v>
      </c>
      <c r="J151" s="260">
        <f t="shared" si="9"/>
        <v>19787240.289999999</v>
      </c>
      <c r="K151" s="260">
        <f t="shared" si="9"/>
        <v>19778776.57</v>
      </c>
      <c r="L151" s="260">
        <f t="shared" si="9"/>
        <v>8463.7199999999721</v>
      </c>
      <c r="M151" s="260">
        <f>M3+M4+M5+M6+M7+M8</f>
        <v>19778776.57</v>
      </c>
      <c r="N151" s="260">
        <f t="shared" si="9"/>
        <v>0</v>
      </c>
      <c r="O151" s="260"/>
      <c r="P151" s="260">
        <f>H55+H111</f>
        <v>4457400</v>
      </c>
      <c r="Q151" s="260"/>
      <c r="R151" s="260">
        <f>K143-411207788.25</f>
        <v>299592704.71999979</v>
      </c>
      <c r="S151" s="260"/>
    </row>
    <row r="152" spans="3:21" x14ac:dyDescent="0.25">
      <c r="C152" s="293" t="s">
        <v>700</v>
      </c>
      <c r="H152" s="260"/>
      <c r="I152" s="260"/>
      <c r="J152" s="260"/>
      <c r="K152" s="260"/>
      <c r="L152" s="260"/>
      <c r="M152" s="260"/>
      <c r="N152" s="260"/>
      <c r="O152" s="260"/>
      <c r="P152" s="260">
        <f>H113+H114+H57+H58</f>
        <v>35112585</v>
      </c>
      <c r="Q152" s="260"/>
      <c r="R152" s="260"/>
      <c r="S152" s="260"/>
    </row>
    <row r="153" spans="3:21" x14ac:dyDescent="0.25">
      <c r="C153" s="294"/>
      <c r="H153" s="260"/>
      <c r="I153" s="260"/>
      <c r="J153" s="260"/>
      <c r="K153" s="260"/>
      <c r="L153" s="260"/>
      <c r="M153" s="260"/>
      <c r="N153" s="260"/>
      <c r="O153" s="260"/>
      <c r="P153" s="260">
        <f>H112+H56</f>
        <v>13418600</v>
      </c>
      <c r="Q153" s="260"/>
      <c r="R153" s="260"/>
      <c r="S153" s="260"/>
    </row>
    <row r="154" spans="3:21" x14ac:dyDescent="0.25">
      <c r="C154" s="295" t="s">
        <v>701</v>
      </c>
      <c r="H154" s="260"/>
      <c r="I154" s="260"/>
      <c r="J154" s="260"/>
      <c r="K154" s="260"/>
      <c r="L154" s="260"/>
      <c r="M154" s="260"/>
      <c r="N154" s="260"/>
      <c r="O154" s="260"/>
      <c r="P154" s="260"/>
      <c r="Q154" s="260"/>
      <c r="R154" s="260"/>
      <c r="S154" s="260"/>
    </row>
    <row r="155" spans="3:21" x14ac:dyDescent="0.25">
      <c r="C155" s="295" t="s">
        <v>702</v>
      </c>
      <c r="H155" s="260">
        <f>H156+H157</f>
        <v>1860392294.2000003</v>
      </c>
      <c r="I155" s="260">
        <f t="shared" ref="I155:N155" si="10">I156+I157</f>
        <v>0</v>
      </c>
      <c r="J155" s="260">
        <f t="shared" si="10"/>
        <v>1860392294.2000003</v>
      </c>
      <c r="K155" s="260">
        <f t="shared" si="10"/>
        <v>1843985556.8299999</v>
      </c>
      <c r="L155" s="260">
        <f t="shared" si="10"/>
        <v>16406737.370000003</v>
      </c>
      <c r="M155" s="260">
        <f t="shared" si="10"/>
        <v>1840528405.3799996</v>
      </c>
      <c r="N155" s="260">
        <f t="shared" si="10"/>
        <v>3457151.4499999974</v>
      </c>
      <c r="O155" s="260"/>
      <c r="P155" s="260"/>
      <c r="Q155" s="260"/>
      <c r="R155" s="260"/>
      <c r="S155" s="260"/>
    </row>
    <row r="156" spans="3:21" x14ac:dyDescent="0.25">
      <c r="C156" s="280" t="s">
        <v>30</v>
      </c>
      <c r="H156" s="260">
        <f>H9+H10+H11+H12+H19+H20+H21+H22+H23+H27+H28+H29+H30+H40+H43+H45+H51+H59+H60+H61+H62+H63+H64+H65+H66+H67+H68+H69+H71+H74+H75+H76+H77+H81+H84+H85+H88+H89+H91+H92+H93+H94+H95+H96+H99+H100+H101+H102+H104+H105+H106+H107+H115+H116+H117+H118+H119+H24+H25+H46+H49+H50+H44+H32+H83+H13+H14+H31+H108+H70+H52+H78+H79</f>
        <v>691955811.98000014</v>
      </c>
      <c r="I156" s="260">
        <f t="shared" ref="I156:N156" si="11">I9+I10+I11+I12+I19+I20+I21+I22+I23+I27+I28+I29+I30+I40+I43+I45+I51+I59+I60+I61+I62+I63+I64+I65+I66+I67+I68+I69+I71+I74+I75+I76+I77+I81+I84+I85+I88+I89+I91+I92+I93+I94+I95+I96+I99+I100+I101+I102+I104+I105+I106+I107+I115+I116+I117+I118+I119+I24+I25+I46+I49+I50+I44+I32+I83+I13+I14+I31+I108+I70+I52+I78+I79</f>
        <v>0</v>
      </c>
      <c r="J156" s="260">
        <f t="shared" si="11"/>
        <v>691955811.98000014</v>
      </c>
      <c r="K156" s="260">
        <f t="shared" si="11"/>
        <v>691021716.39999974</v>
      </c>
      <c r="L156" s="260">
        <f t="shared" si="11"/>
        <v>934095.58000000007</v>
      </c>
      <c r="M156" s="260">
        <f t="shared" si="11"/>
        <v>691011941.06999981</v>
      </c>
      <c r="N156" s="260">
        <f t="shared" si="11"/>
        <v>9775.3299999998562</v>
      </c>
      <c r="O156" s="260"/>
      <c r="P156" s="260"/>
      <c r="Q156" s="260">
        <f>J141-'[12]01 08 2021'!$J$129</f>
        <v>61845400.170000076</v>
      </c>
      <c r="R156" s="260"/>
      <c r="S156" s="260"/>
      <c r="T156" s="260"/>
    </row>
    <row r="157" spans="3:21" x14ac:dyDescent="0.25">
      <c r="C157" s="280" t="s">
        <v>32</v>
      </c>
      <c r="H157" s="260">
        <f>H15+H16+H17+H18+H33+H34+H35+H36+H37+H38+H39+H53+H54+H55+H56+H57+H58+H72+H73+H80+H86+H87+H90+H97+H98+H103+H109+H110+H111+H112+H113+H114+H41+H42+H47+H48+H82+H26</f>
        <v>1168436482.22</v>
      </c>
      <c r="I157" s="260">
        <f t="shared" ref="I157:N157" si="12">I15+I16+I17+I18+I33+I34+I35+I36+I37+I38+I39+I53+I54+I55+I56+I57+I58+I72+I73+I80+I86+I87+I90+I97+I98+I103+I109+I110+I111+I112+I113+I114+I41+I42+I47+I48+I82+I26</f>
        <v>0</v>
      </c>
      <c r="J157" s="260">
        <f t="shared" si="12"/>
        <v>1168436482.22</v>
      </c>
      <c r="K157" s="260">
        <f t="shared" si="12"/>
        <v>1152963840.4300001</v>
      </c>
      <c r="L157" s="260">
        <f t="shared" si="12"/>
        <v>15472641.790000003</v>
      </c>
      <c r="M157" s="260">
        <f t="shared" si="12"/>
        <v>1149516464.3099999</v>
      </c>
      <c r="N157" s="260">
        <f t="shared" si="12"/>
        <v>3447376.1199999973</v>
      </c>
      <c r="O157" s="260"/>
      <c r="P157" s="260"/>
      <c r="Q157" s="260"/>
      <c r="R157" s="260"/>
      <c r="S157" s="260"/>
    </row>
    <row r="158" spans="3:21" x14ac:dyDescent="0.25">
      <c r="C158" s="295" t="s">
        <v>703</v>
      </c>
      <c r="H158" s="260">
        <f>H159+H160</f>
        <v>63071565.939999998</v>
      </c>
      <c r="I158" s="260">
        <f t="shared" ref="I158:N158" si="13">I159+I160</f>
        <v>0</v>
      </c>
      <c r="J158" s="260">
        <f t="shared" si="13"/>
        <v>63071565.939999998</v>
      </c>
      <c r="K158" s="260">
        <f t="shared" si="13"/>
        <v>58622996.920000002</v>
      </c>
      <c r="L158" s="260">
        <f t="shared" si="13"/>
        <v>4448569.0199999986</v>
      </c>
      <c r="M158" s="260">
        <f t="shared" si="13"/>
        <v>58608314.730000004</v>
      </c>
      <c r="N158" s="260">
        <f t="shared" si="13"/>
        <v>14682.189999999711</v>
      </c>
      <c r="O158" s="260"/>
      <c r="P158" s="260"/>
      <c r="Q158" s="260"/>
      <c r="R158" s="260"/>
      <c r="S158" s="260"/>
    </row>
    <row r="159" spans="3:21" x14ac:dyDescent="0.25">
      <c r="C159" s="280" t="s">
        <v>704</v>
      </c>
      <c r="H159" s="260">
        <f t="shared" ref="H159:N159" si="14">H120+H127+H128</f>
        <v>2018218.9999999998</v>
      </c>
      <c r="I159" s="260">
        <f t="shared" si="14"/>
        <v>0</v>
      </c>
      <c r="J159" s="260">
        <f t="shared" si="14"/>
        <v>2018218.9999999998</v>
      </c>
      <c r="K159" s="260">
        <f t="shared" si="14"/>
        <v>1913108.24</v>
      </c>
      <c r="L159" s="260">
        <f t="shared" si="14"/>
        <v>105110.75999999998</v>
      </c>
      <c r="M159" s="260">
        <f t="shared" si="14"/>
        <v>1913108.24</v>
      </c>
      <c r="N159" s="260">
        <f t="shared" si="14"/>
        <v>0</v>
      </c>
      <c r="O159" s="260"/>
      <c r="P159" s="260"/>
      <c r="Q159" s="260"/>
      <c r="R159" s="260"/>
      <c r="S159" s="260"/>
    </row>
    <row r="160" spans="3:21" x14ac:dyDescent="0.25">
      <c r="C160" s="280" t="s">
        <v>10</v>
      </c>
      <c r="H160" s="260">
        <f t="shared" ref="H160:N160" si="15">H121+H122+H123+H124+H125+H126+H129+H130+H131+H132+H133+H134+H135+H136+H137+H138</f>
        <v>61053346.939999998</v>
      </c>
      <c r="I160" s="260">
        <f t="shared" si="15"/>
        <v>0</v>
      </c>
      <c r="J160" s="260">
        <f t="shared" si="15"/>
        <v>61053346.939999998</v>
      </c>
      <c r="K160" s="260">
        <f t="shared" si="15"/>
        <v>56709888.68</v>
      </c>
      <c r="L160" s="260">
        <f t="shared" si="15"/>
        <v>4343458.2599999988</v>
      </c>
      <c r="M160" s="260">
        <f t="shared" si="15"/>
        <v>56695206.490000002</v>
      </c>
      <c r="N160" s="260">
        <f t="shared" si="15"/>
        <v>14682.189999999711</v>
      </c>
      <c r="O160" s="260"/>
      <c r="P160" s="260"/>
      <c r="Q160" s="260"/>
      <c r="R160" s="260"/>
      <c r="S160" s="260"/>
    </row>
    <row r="161" spans="3:19" x14ac:dyDescent="0.25">
      <c r="H161" s="260"/>
      <c r="I161" s="260"/>
      <c r="J161" s="260"/>
      <c r="K161" s="260"/>
      <c r="L161" s="260"/>
      <c r="M161" s="260"/>
      <c r="N161" s="260"/>
      <c r="O161" s="260"/>
      <c r="P161" s="260"/>
      <c r="Q161" s="260"/>
      <c r="R161" s="260"/>
      <c r="S161" s="260"/>
    </row>
    <row r="162" spans="3:19" x14ac:dyDescent="0.25">
      <c r="C162" s="296" t="s">
        <v>697</v>
      </c>
      <c r="G162" s="260">
        <f>H162-H139</f>
        <v>0</v>
      </c>
      <c r="H162" s="260">
        <f>H163+H164</f>
        <v>1943251100.4300003</v>
      </c>
      <c r="I162" s="260">
        <f t="shared" ref="I162:N162" si="16">I163+I164</f>
        <v>0</v>
      </c>
      <c r="J162" s="260">
        <f t="shared" si="16"/>
        <v>1943251100.4300003</v>
      </c>
      <c r="K162" s="260">
        <f t="shared" si="16"/>
        <v>1922387330.3199999</v>
      </c>
      <c r="L162" s="260">
        <f t="shared" si="16"/>
        <v>20863770.110000003</v>
      </c>
      <c r="M162" s="260">
        <f t="shared" si="16"/>
        <v>1918915496.6799998</v>
      </c>
      <c r="N162" s="260">
        <f t="shared" si="16"/>
        <v>3471833.6399999969</v>
      </c>
      <c r="O162" s="260"/>
      <c r="P162" s="260"/>
      <c r="Q162" s="260"/>
      <c r="R162" s="260"/>
      <c r="S162" s="260"/>
    </row>
    <row r="163" spans="3:19" x14ac:dyDescent="0.25">
      <c r="C163" s="280" t="s">
        <v>30</v>
      </c>
      <c r="G163" s="260">
        <f>H143-H163</f>
        <v>0</v>
      </c>
      <c r="H163" s="260">
        <f>H151+H156</f>
        <v>711743052.2700001</v>
      </c>
      <c r="I163" s="260">
        <f t="shared" ref="I163:N163" si="17">I151+I156</f>
        <v>0</v>
      </c>
      <c r="J163" s="260">
        <f t="shared" si="17"/>
        <v>711743052.2700001</v>
      </c>
      <c r="K163" s="260">
        <f t="shared" si="17"/>
        <v>710800492.96999979</v>
      </c>
      <c r="L163" s="260">
        <f t="shared" si="17"/>
        <v>942559.3</v>
      </c>
      <c r="M163" s="260">
        <f t="shared" si="17"/>
        <v>710790717.63999987</v>
      </c>
      <c r="N163" s="260">
        <f t="shared" si="17"/>
        <v>9775.3299999998562</v>
      </c>
      <c r="O163" s="260"/>
      <c r="P163" s="260"/>
      <c r="Q163" s="260"/>
      <c r="R163" s="260"/>
      <c r="S163" s="260"/>
    </row>
    <row r="164" spans="3:19" x14ac:dyDescent="0.25">
      <c r="C164" s="280" t="s">
        <v>32</v>
      </c>
      <c r="G164" s="260">
        <f>H141-H164</f>
        <v>0</v>
      </c>
      <c r="H164" s="260">
        <f>H157+H158</f>
        <v>1231508048.1600001</v>
      </c>
      <c r="I164" s="260">
        <f t="shared" ref="I164:N164" si="18">I157+I158</f>
        <v>0</v>
      </c>
      <c r="J164" s="260">
        <f t="shared" si="18"/>
        <v>1231508048.1600001</v>
      </c>
      <c r="K164" s="260">
        <f t="shared" si="18"/>
        <v>1211586837.3500001</v>
      </c>
      <c r="L164" s="260">
        <f t="shared" si="18"/>
        <v>19921210.810000002</v>
      </c>
      <c r="M164" s="260">
        <f t="shared" si="18"/>
        <v>1208124779.04</v>
      </c>
      <c r="N164" s="260">
        <f t="shared" si="18"/>
        <v>3462058.3099999968</v>
      </c>
      <c r="O164" s="260"/>
      <c r="P164" s="260"/>
      <c r="Q164" s="260"/>
      <c r="R164" s="260"/>
      <c r="S164" s="260"/>
    </row>
    <row r="165" spans="3:19" x14ac:dyDescent="0.25">
      <c r="H165" s="260"/>
      <c r="I165" s="260"/>
      <c r="J165" s="260"/>
      <c r="K165" s="260"/>
      <c r="L165" s="260"/>
      <c r="M165" s="260"/>
      <c r="N165" s="260"/>
      <c r="O165" s="260"/>
      <c r="P165" s="260"/>
      <c r="Q165" s="260"/>
      <c r="R165" s="260"/>
      <c r="S165" s="260"/>
    </row>
    <row r="166" spans="3:19" x14ac:dyDescent="0.25">
      <c r="C166" s="293" t="s">
        <v>705</v>
      </c>
      <c r="H166" s="297">
        <f>H167+H168</f>
        <v>1849330630.7200003</v>
      </c>
      <c r="I166" s="297">
        <f t="shared" ref="I166:N166" si="19">I167+I168</f>
        <v>0</v>
      </c>
      <c r="J166" s="297">
        <f t="shared" si="19"/>
        <v>1849330630.7200003</v>
      </c>
      <c r="K166" s="297">
        <f t="shared" si="19"/>
        <v>1832823057.6699998</v>
      </c>
      <c r="L166" s="297">
        <f t="shared" si="19"/>
        <v>16507573.050000003</v>
      </c>
      <c r="M166" s="297">
        <f t="shared" si="19"/>
        <v>1829365906.2199998</v>
      </c>
      <c r="N166" s="297">
        <f t="shared" si="19"/>
        <v>3457151.4499999974</v>
      </c>
      <c r="O166" s="297"/>
      <c r="P166" s="297">
        <f>M173+M186+M190+M194</f>
        <v>1918915496.6799998</v>
      </c>
      <c r="Q166" s="297"/>
      <c r="R166" s="260"/>
      <c r="S166" s="260"/>
    </row>
    <row r="167" spans="3:19" x14ac:dyDescent="0.25">
      <c r="C167" s="280" t="s">
        <v>30</v>
      </c>
      <c r="H167" s="260">
        <f>H9+H10+H11+H12+H19+H20+H21+H22+H23+H27+H28+H29+H30+H40+H43+H45+H51+H59+H60+H61+H62+H63+H64+H65+H66+H67+H68+H69+H74+H75+H76+H77+H81+H84+H85+H88+H89+H91+H92+H94+H95+H96+H99+H100+H101+H102+H104+H105+H106+H107+H115+H116+H117+H118+H119+H24+H25+H46+H49+H50+H44+H32+H83+H13+H14+H31+H108+H70+H52+H78+H79</f>
        <v>678875929.50000012</v>
      </c>
      <c r="I167" s="260">
        <f t="shared" ref="I167:N167" si="20">I9+I10+I11+I12+I19+I20+I21+I22+I23+I27+I28+I29+I30+I40+I43+I45+I51+I59+I60+I61+I62+I63+I64+I65+I66+I67+I68+I69+I74+I75+I76+I77+I81+I84+I85+I88+I89+I91+I92+I94+I95+I96+I99+I100+I101+I102+I104+I105+I106+I107+I115+I116+I117+I118+I119+I24+I25+I46+I49+I50+I44+I32+I83+I13+I14+I31+I108+I70+I52+I78+I79</f>
        <v>0</v>
      </c>
      <c r="J167" s="260">
        <f t="shared" si="20"/>
        <v>678875929.50000012</v>
      </c>
      <c r="K167" s="260">
        <f t="shared" si="20"/>
        <v>677946108.99999976</v>
      </c>
      <c r="L167" s="260">
        <f t="shared" si="20"/>
        <v>929820.50000000023</v>
      </c>
      <c r="M167" s="260">
        <f t="shared" si="20"/>
        <v>677936333.66999984</v>
      </c>
      <c r="N167" s="260">
        <f t="shared" si="20"/>
        <v>9775.3299999998562</v>
      </c>
      <c r="O167" s="260"/>
      <c r="P167" s="260"/>
      <c r="Q167" s="260"/>
      <c r="R167" s="260"/>
      <c r="S167" s="260"/>
    </row>
    <row r="168" spans="3:19" x14ac:dyDescent="0.25">
      <c r="C168" s="280" t="s">
        <v>32</v>
      </c>
      <c r="H168" s="260">
        <f>H15+H16+H17+H18+H33+H34+H35+H36+H37+H38+H39+H53+H54+H55+H56+H57+H58+H72+H73+H80+H86+H87+H90+H97+H98+H103+H109+H110+H111+H112+H113+H114+H127+H128+H120+H41+H42+H47+H48+H82+H26</f>
        <v>1170454701.22</v>
      </c>
      <c r="I168" s="260">
        <f t="shared" ref="I168:N168" si="21">I15+I16+I17+I18+I33+I34+I35+I36+I37+I38+I39+I53+I54+I55+I56+I57+I58+I72+I73+I80+I86+I87+I90+I97+I98+I103+I109+I110+I111+I112+I113+I114+I127+I128+I120+I41+I42+I47+I48+I82+I26</f>
        <v>0</v>
      </c>
      <c r="J168" s="260">
        <f t="shared" si="21"/>
        <v>1170454701.22</v>
      </c>
      <c r="K168" s="260">
        <f t="shared" si="21"/>
        <v>1154876948.6700001</v>
      </c>
      <c r="L168" s="260">
        <f t="shared" si="21"/>
        <v>15577752.550000003</v>
      </c>
      <c r="M168" s="260">
        <f t="shared" si="21"/>
        <v>1151429572.55</v>
      </c>
      <c r="N168" s="260">
        <f t="shared" si="21"/>
        <v>3447376.1199999973</v>
      </c>
      <c r="O168" s="260"/>
      <c r="P168" s="260"/>
      <c r="Q168" s="260"/>
      <c r="R168" s="260"/>
      <c r="S168" s="260"/>
    </row>
    <row r="169" spans="3:19" x14ac:dyDescent="0.25">
      <c r="C169" s="280"/>
      <c r="H169" s="260"/>
      <c r="I169" s="260"/>
      <c r="J169" s="260"/>
      <c r="K169" s="260"/>
      <c r="L169" s="260"/>
      <c r="M169" s="260"/>
      <c r="N169" s="260"/>
      <c r="O169" s="260"/>
      <c r="P169" s="260"/>
      <c r="Q169" s="260"/>
      <c r="R169" s="260"/>
      <c r="S169" s="260"/>
    </row>
    <row r="170" spans="3:19" x14ac:dyDescent="0.25">
      <c r="C170" s="295" t="s">
        <v>706</v>
      </c>
      <c r="H170" s="297">
        <f>H171+H172</f>
        <v>13042337.4</v>
      </c>
      <c r="I170" s="297">
        <f t="shared" ref="I170:N170" si="22">I171+I172</f>
        <v>0</v>
      </c>
      <c r="J170" s="297">
        <f t="shared" si="22"/>
        <v>13042337.4</v>
      </c>
      <c r="K170" s="297">
        <f t="shared" si="22"/>
        <v>13042337.4</v>
      </c>
      <c r="L170" s="297">
        <f t="shared" si="22"/>
        <v>0</v>
      </c>
      <c r="M170" s="297">
        <f t="shared" si="22"/>
        <v>13042337.4</v>
      </c>
      <c r="N170" s="297">
        <f t="shared" si="22"/>
        <v>0</v>
      </c>
      <c r="O170" s="297"/>
      <c r="P170" s="297"/>
      <c r="Q170" s="297"/>
      <c r="R170" s="260"/>
      <c r="S170" s="260"/>
    </row>
    <row r="171" spans="3:19" x14ac:dyDescent="0.25">
      <c r="C171" s="280" t="s">
        <v>30</v>
      </c>
      <c r="H171" s="260">
        <f t="shared" ref="H171:N171" si="23">H71</f>
        <v>13042337.4</v>
      </c>
      <c r="I171" s="260">
        <f t="shared" si="23"/>
        <v>0</v>
      </c>
      <c r="J171" s="260">
        <f t="shared" si="23"/>
        <v>13042337.4</v>
      </c>
      <c r="K171" s="260">
        <f t="shared" si="23"/>
        <v>13042337.4</v>
      </c>
      <c r="L171" s="260">
        <f t="shared" si="23"/>
        <v>0</v>
      </c>
      <c r="M171" s="260">
        <f t="shared" si="23"/>
        <v>13042337.4</v>
      </c>
      <c r="N171" s="260">
        <f t="shared" si="23"/>
        <v>0</v>
      </c>
      <c r="O171" s="260"/>
      <c r="P171" s="260"/>
      <c r="Q171" s="260"/>
      <c r="R171" s="260"/>
      <c r="S171" s="260"/>
    </row>
    <row r="172" spans="3:19" x14ac:dyDescent="0.25">
      <c r="C172" s="280"/>
      <c r="H172" s="260"/>
      <c r="I172" s="260"/>
      <c r="J172" s="260"/>
      <c r="K172" s="260"/>
      <c r="L172" s="260"/>
      <c r="M172" s="260"/>
      <c r="N172" s="260"/>
      <c r="O172" s="260"/>
      <c r="P172" s="260"/>
      <c r="Q172" s="260"/>
      <c r="R172" s="260"/>
      <c r="S172" s="260"/>
    </row>
    <row r="173" spans="3:19" x14ac:dyDescent="0.25">
      <c r="C173" s="295" t="s">
        <v>707</v>
      </c>
      <c r="H173" s="297">
        <f>H174+H175</f>
        <v>1862372968.1200001</v>
      </c>
      <c r="I173" s="297">
        <f t="shared" ref="I173:N173" si="24">I174+I175</f>
        <v>0</v>
      </c>
      <c r="J173" s="297">
        <f t="shared" si="24"/>
        <v>1862372968.1200001</v>
      </c>
      <c r="K173" s="297">
        <f t="shared" si="24"/>
        <v>1845865395.0699997</v>
      </c>
      <c r="L173" s="297">
        <f t="shared" si="24"/>
        <v>16507573.050000003</v>
      </c>
      <c r="M173" s="297">
        <f t="shared" si="24"/>
        <v>1842408243.6199999</v>
      </c>
      <c r="N173" s="297">
        <f t="shared" si="24"/>
        <v>3457151.4499999974</v>
      </c>
      <c r="O173" s="297"/>
      <c r="P173" s="297"/>
      <c r="Q173" s="297"/>
      <c r="R173" s="260"/>
      <c r="S173" s="260"/>
    </row>
    <row r="174" spans="3:19" x14ac:dyDescent="0.25">
      <c r="C174" s="280" t="s">
        <v>30</v>
      </c>
      <c r="H174" s="260">
        <f>H167+H171</f>
        <v>691918266.9000001</v>
      </c>
      <c r="I174" s="260">
        <f t="shared" ref="I174:N174" si="25">I167+I171</f>
        <v>0</v>
      </c>
      <c r="J174" s="260">
        <f>J167+J171</f>
        <v>691918266.9000001</v>
      </c>
      <c r="K174" s="260">
        <f t="shared" si="25"/>
        <v>690988446.39999974</v>
      </c>
      <c r="L174" s="260">
        <f t="shared" si="25"/>
        <v>929820.50000000023</v>
      </c>
      <c r="M174" s="260">
        <f t="shared" si="25"/>
        <v>690978671.06999981</v>
      </c>
      <c r="N174" s="260">
        <f t="shared" si="25"/>
        <v>9775.3299999998562</v>
      </c>
      <c r="O174" s="260"/>
      <c r="P174" s="260"/>
      <c r="Q174" s="260"/>
      <c r="R174" s="260"/>
      <c r="S174" s="260"/>
    </row>
    <row r="175" spans="3:19" x14ac:dyDescent="0.25">
      <c r="C175" s="280" t="s">
        <v>32</v>
      </c>
      <c r="H175" s="260">
        <f>H168</f>
        <v>1170454701.22</v>
      </c>
      <c r="I175" s="260">
        <f t="shared" ref="I175:N175" si="26">I168</f>
        <v>0</v>
      </c>
      <c r="J175" s="260">
        <f t="shared" si="26"/>
        <v>1170454701.22</v>
      </c>
      <c r="K175" s="260">
        <f t="shared" si="26"/>
        <v>1154876948.6700001</v>
      </c>
      <c r="L175" s="260">
        <f t="shared" si="26"/>
        <v>15577752.550000003</v>
      </c>
      <c r="M175" s="260">
        <f t="shared" si="26"/>
        <v>1151429572.55</v>
      </c>
      <c r="N175" s="260">
        <f t="shared" si="26"/>
        <v>3447376.1199999973</v>
      </c>
      <c r="O175" s="260"/>
      <c r="P175" s="260"/>
      <c r="Q175" s="260"/>
      <c r="R175" s="260"/>
      <c r="S175" s="260"/>
    </row>
    <row r="176" spans="3:19" x14ac:dyDescent="0.25">
      <c r="C176" s="280"/>
      <c r="H176" s="260"/>
      <c r="I176" s="260"/>
      <c r="J176" s="260"/>
      <c r="K176" s="260"/>
      <c r="L176" s="260"/>
      <c r="M176" s="260"/>
      <c r="N176" s="260"/>
      <c r="O176" s="260"/>
      <c r="P176" s="260"/>
      <c r="Q176" s="260"/>
      <c r="R176" s="260"/>
      <c r="S176" s="260"/>
    </row>
    <row r="177" spans="3:19" x14ac:dyDescent="0.25">
      <c r="C177" s="247">
        <v>121</v>
      </c>
      <c r="H177" s="297">
        <f>H178+H179</f>
        <v>19212977.130000003</v>
      </c>
      <c r="I177" s="297">
        <f t="shared" ref="I177:N177" si="27">I178+I179</f>
        <v>0</v>
      </c>
      <c r="J177" s="297">
        <f t="shared" si="27"/>
        <v>19212977.130000003</v>
      </c>
      <c r="K177" s="297">
        <f t="shared" si="27"/>
        <v>19212977.130000003</v>
      </c>
      <c r="L177" s="297">
        <f t="shared" si="27"/>
        <v>0</v>
      </c>
      <c r="M177" s="297">
        <f t="shared" si="27"/>
        <v>19212977.130000003</v>
      </c>
      <c r="N177" s="297">
        <f t="shared" si="27"/>
        <v>0</v>
      </c>
      <c r="O177" s="297"/>
      <c r="P177" s="297"/>
      <c r="Q177" s="297"/>
      <c r="R177" s="260"/>
      <c r="S177" s="260"/>
    </row>
    <row r="178" spans="3:19" x14ac:dyDescent="0.25">
      <c r="C178" s="280" t="s">
        <v>30</v>
      </c>
      <c r="H178" s="260">
        <f t="shared" ref="H178:N178" si="28">H3</f>
        <v>14359077.050000001</v>
      </c>
      <c r="I178" s="260">
        <f t="shared" si="28"/>
        <v>0</v>
      </c>
      <c r="J178" s="260">
        <f t="shared" si="28"/>
        <v>14359077.050000001</v>
      </c>
      <c r="K178" s="260">
        <f t="shared" si="28"/>
        <v>14359077.050000001</v>
      </c>
      <c r="L178" s="260">
        <f t="shared" si="28"/>
        <v>0</v>
      </c>
      <c r="M178" s="260">
        <f t="shared" si="28"/>
        <v>14359077.050000001</v>
      </c>
      <c r="N178" s="260">
        <f t="shared" si="28"/>
        <v>0</v>
      </c>
      <c r="O178" s="260"/>
      <c r="P178" s="260"/>
      <c r="Q178" s="260"/>
      <c r="R178" s="260"/>
      <c r="S178" s="260"/>
    </row>
    <row r="179" spans="3:19" x14ac:dyDescent="0.25">
      <c r="C179" s="280" t="s">
        <v>32</v>
      </c>
      <c r="G179" s="260"/>
      <c r="H179" s="260">
        <f t="shared" ref="H179:N179" si="29">H122+H134</f>
        <v>4853900.08</v>
      </c>
      <c r="I179" s="260">
        <f t="shared" si="29"/>
        <v>0</v>
      </c>
      <c r="J179" s="260">
        <f t="shared" si="29"/>
        <v>4853900.08</v>
      </c>
      <c r="K179" s="260">
        <f t="shared" si="29"/>
        <v>4853900.08</v>
      </c>
      <c r="L179" s="260">
        <f t="shared" si="29"/>
        <v>0</v>
      </c>
      <c r="M179" s="260">
        <f t="shared" si="29"/>
        <v>4853900.08</v>
      </c>
      <c r="N179" s="260">
        <f t="shared" si="29"/>
        <v>0</v>
      </c>
      <c r="O179" s="260"/>
      <c r="P179" s="260"/>
      <c r="Q179" s="260"/>
      <c r="R179" s="260"/>
      <c r="S179" s="260"/>
    </row>
    <row r="180" spans="3:19" x14ac:dyDescent="0.25">
      <c r="C180" s="247">
        <v>129</v>
      </c>
      <c r="H180" s="297">
        <f>H181+H182</f>
        <v>5805039.6500000004</v>
      </c>
      <c r="I180" s="297">
        <f t="shared" ref="I180:N180" si="30">I181+I182</f>
        <v>0</v>
      </c>
      <c r="J180" s="297">
        <f t="shared" si="30"/>
        <v>5805039.6500000004</v>
      </c>
      <c r="K180" s="297">
        <f t="shared" si="30"/>
        <v>5758129.2300000004</v>
      </c>
      <c r="L180" s="297">
        <f t="shared" si="30"/>
        <v>46910.419999999925</v>
      </c>
      <c r="M180" s="297">
        <f t="shared" si="30"/>
        <v>5758129.2300000004</v>
      </c>
      <c r="N180" s="297">
        <f t="shared" si="30"/>
        <v>0</v>
      </c>
      <c r="O180" s="297"/>
      <c r="P180" s="297"/>
      <c r="Q180" s="297"/>
      <c r="R180" s="260"/>
      <c r="S180" s="260"/>
    </row>
    <row r="181" spans="3:19" x14ac:dyDescent="0.25">
      <c r="C181" s="280" t="s">
        <v>30</v>
      </c>
      <c r="H181" s="260">
        <f t="shared" ref="H181:N181" si="31">H4</f>
        <v>4278761.82</v>
      </c>
      <c r="I181" s="260">
        <f t="shared" si="31"/>
        <v>0</v>
      </c>
      <c r="J181" s="260">
        <f t="shared" si="31"/>
        <v>4278761.82</v>
      </c>
      <c r="K181" s="260">
        <f t="shared" si="31"/>
        <v>4278761.82</v>
      </c>
      <c r="L181" s="260">
        <f t="shared" si="31"/>
        <v>0</v>
      </c>
      <c r="M181" s="260">
        <f t="shared" si="31"/>
        <v>4278761.82</v>
      </c>
      <c r="N181" s="260">
        <f t="shared" si="31"/>
        <v>0</v>
      </c>
      <c r="O181" s="260"/>
      <c r="P181" s="260"/>
      <c r="Q181" s="260"/>
      <c r="R181" s="260"/>
      <c r="S181" s="260"/>
    </row>
    <row r="182" spans="3:19" x14ac:dyDescent="0.25">
      <c r="C182" s="280" t="s">
        <v>32</v>
      </c>
      <c r="G182" s="260"/>
      <c r="H182" s="260">
        <f t="shared" ref="H182:N182" si="32">H123+H136</f>
        <v>1526277.8299999998</v>
      </c>
      <c r="I182" s="260">
        <f t="shared" si="32"/>
        <v>0</v>
      </c>
      <c r="J182" s="260">
        <f t="shared" si="32"/>
        <v>1526277.8299999998</v>
      </c>
      <c r="K182" s="260">
        <f t="shared" si="32"/>
        <v>1479367.41</v>
      </c>
      <c r="L182" s="260">
        <f t="shared" si="32"/>
        <v>46910.419999999925</v>
      </c>
      <c r="M182" s="260">
        <f t="shared" si="32"/>
        <v>1479367.41</v>
      </c>
      <c r="N182" s="260">
        <f t="shared" si="32"/>
        <v>0</v>
      </c>
      <c r="O182" s="260"/>
      <c r="P182" s="260"/>
      <c r="Q182" s="260"/>
      <c r="R182" s="260"/>
      <c r="S182" s="260"/>
    </row>
    <row r="183" spans="3:19" x14ac:dyDescent="0.25">
      <c r="C183" s="247">
        <v>122</v>
      </c>
      <c r="H183" s="297">
        <f>H184+H185</f>
        <v>332158.45</v>
      </c>
      <c r="I183" s="297">
        <f t="shared" ref="I183:N183" si="33">I184+I185</f>
        <v>0</v>
      </c>
      <c r="J183" s="297">
        <f t="shared" si="33"/>
        <v>332158.45</v>
      </c>
      <c r="K183" s="297">
        <f t="shared" si="33"/>
        <v>275295.35000000003</v>
      </c>
      <c r="L183" s="297">
        <f t="shared" si="33"/>
        <v>56863.1</v>
      </c>
      <c r="M183" s="297">
        <f t="shared" si="33"/>
        <v>275295.35000000003</v>
      </c>
      <c r="N183" s="297">
        <f t="shared" si="33"/>
        <v>0</v>
      </c>
      <c r="O183" s="297"/>
      <c r="P183" s="297"/>
      <c r="Q183" s="297"/>
      <c r="R183" s="260"/>
      <c r="S183" s="260"/>
    </row>
    <row r="184" spans="3:19" x14ac:dyDescent="0.25">
      <c r="C184" s="280" t="s">
        <v>30</v>
      </c>
      <c r="H184" s="260">
        <f t="shared" ref="H184:N184" si="34">H5+H7</f>
        <v>262308.45</v>
      </c>
      <c r="I184" s="260">
        <f t="shared" si="34"/>
        <v>0</v>
      </c>
      <c r="J184" s="260">
        <f t="shared" si="34"/>
        <v>262308.45</v>
      </c>
      <c r="K184" s="260">
        <f t="shared" si="34"/>
        <v>262308.45</v>
      </c>
      <c r="L184" s="260">
        <f t="shared" si="34"/>
        <v>0</v>
      </c>
      <c r="M184" s="260">
        <f t="shared" si="34"/>
        <v>262308.45</v>
      </c>
      <c r="N184" s="260">
        <f t="shared" si="34"/>
        <v>0</v>
      </c>
      <c r="O184" s="260"/>
      <c r="P184" s="260"/>
      <c r="Q184" s="260"/>
      <c r="R184" s="260"/>
      <c r="S184" s="260"/>
    </row>
    <row r="185" spans="3:19" x14ac:dyDescent="0.25">
      <c r="C185" s="280" t="s">
        <v>32</v>
      </c>
      <c r="H185" s="260">
        <f>H135</f>
        <v>69850</v>
      </c>
      <c r="I185" s="260">
        <f t="shared" ref="I185:N185" si="35">I135</f>
        <v>0</v>
      </c>
      <c r="J185" s="260">
        <f t="shared" si="35"/>
        <v>69850</v>
      </c>
      <c r="K185" s="260">
        <f t="shared" si="35"/>
        <v>12986.9</v>
      </c>
      <c r="L185" s="260">
        <f t="shared" si="35"/>
        <v>56863.1</v>
      </c>
      <c r="M185" s="260">
        <f t="shared" si="35"/>
        <v>12986.9</v>
      </c>
      <c r="N185" s="260">
        <f t="shared" si="35"/>
        <v>0</v>
      </c>
      <c r="O185" s="260"/>
      <c r="P185" s="260"/>
      <c r="Q185" s="260"/>
      <c r="R185" s="260"/>
      <c r="S185" s="260"/>
    </row>
    <row r="186" spans="3:19" x14ac:dyDescent="0.25">
      <c r="C186" s="295" t="s">
        <v>708</v>
      </c>
      <c r="H186" s="297">
        <f>H187+H188</f>
        <v>25350175.23</v>
      </c>
      <c r="I186" s="297">
        <f t="shared" ref="I186:N186" si="36">I187+I188</f>
        <v>0</v>
      </c>
      <c r="J186" s="297">
        <f t="shared" si="36"/>
        <v>25350175.23</v>
      </c>
      <c r="K186" s="297">
        <f t="shared" si="36"/>
        <v>25246401.710000001</v>
      </c>
      <c r="L186" s="297">
        <f t="shared" si="36"/>
        <v>103773.51999999993</v>
      </c>
      <c r="M186" s="297">
        <f t="shared" si="36"/>
        <v>25246401.710000001</v>
      </c>
      <c r="N186" s="297">
        <f t="shared" si="36"/>
        <v>0</v>
      </c>
      <c r="O186" s="297"/>
      <c r="P186" s="297"/>
      <c r="Q186" s="297"/>
      <c r="R186" s="260"/>
      <c r="S186" s="260"/>
    </row>
    <row r="187" spans="3:19" x14ac:dyDescent="0.25">
      <c r="C187" s="280" t="s">
        <v>30</v>
      </c>
      <c r="H187" s="260">
        <f>H178+H181+H184</f>
        <v>18900147.32</v>
      </c>
      <c r="I187" s="260">
        <f t="shared" ref="I187:N188" si="37">I178+I181+I184</f>
        <v>0</v>
      </c>
      <c r="J187" s="260">
        <f t="shared" si="37"/>
        <v>18900147.32</v>
      </c>
      <c r="K187" s="260">
        <f t="shared" si="37"/>
        <v>18900147.32</v>
      </c>
      <c r="L187" s="260">
        <f t="shared" si="37"/>
        <v>0</v>
      </c>
      <c r="M187" s="260">
        <f t="shared" si="37"/>
        <v>18900147.32</v>
      </c>
      <c r="N187" s="260">
        <f t="shared" si="37"/>
        <v>0</v>
      </c>
      <c r="O187" s="260"/>
      <c r="P187" s="260"/>
      <c r="Q187" s="260"/>
      <c r="R187" s="260"/>
      <c r="S187" s="260"/>
    </row>
    <row r="188" spans="3:19" x14ac:dyDescent="0.25">
      <c r="C188" s="280" t="s">
        <v>32</v>
      </c>
      <c r="H188" s="260">
        <f>H179+H182+H185</f>
        <v>6450027.9100000001</v>
      </c>
      <c r="I188" s="260">
        <f t="shared" si="37"/>
        <v>0</v>
      </c>
      <c r="J188" s="260">
        <f t="shared" si="37"/>
        <v>6450027.9100000001</v>
      </c>
      <c r="K188" s="260">
        <f t="shared" si="37"/>
        <v>6346254.3900000006</v>
      </c>
      <c r="L188" s="260">
        <f t="shared" si="37"/>
        <v>103773.51999999993</v>
      </c>
      <c r="M188" s="260">
        <f t="shared" si="37"/>
        <v>6346254.3900000006</v>
      </c>
      <c r="N188" s="260">
        <f t="shared" si="37"/>
        <v>0</v>
      </c>
      <c r="O188" s="260"/>
      <c r="P188" s="260"/>
      <c r="Q188" s="260"/>
      <c r="R188" s="260"/>
      <c r="S188" s="260"/>
    </row>
    <row r="189" spans="3:19" x14ac:dyDescent="0.25">
      <c r="H189" s="260"/>
      <c r="I189" s="260"/>
      <c r="J189" s="260"/>
      <c r="K189" s="260"/>
      <c r="L189" s="260"/>
      <c r="M189" s="260"/>
      <c r="N189" s="260"/>
      <c r="O189" s="260"/>
      <c r="P189" s="260"/>
      <c r="Q189" s="260"/>
      <c r="R189" s="260"/>
      <c r="S189" s="260"/>
    </row>
    <row r="190" spans="3:19" x14ac:dyDescent="0.25">
      <c r="C190" s="293">
        <v>200</v>
      </c>
      <c r="H190" s="297">
        <f>H191+H192</f>
        <v>2188591.1399999997</v>
      </c>
      <c r="I190" s="297">
        <f t="shared" ref="I190:N190" si="38">I191+I192</f>
        <v>0</v>
      </c>
      <c r="J190" s="297">
        <f t="shared" si="38"/>
        <v>2188591.1399999997</v>
      </c>
      <c r="K190" s="297">
        <f t="shared" si="38"/>
        <v>2065621.04</v>
      </c>
      <c r="L190" s="297">
        <f t="shared" si="38"/>
        <v>122970.0999999999</v>
      </c>
      <c r="M190" s="297">
        <f t="shared" si="38"/>
        <v>2065621.04</v>
      </c>
      <c r="N190" s="297">
        <f t="shared" si="38"/>
        <v>0</v>
      </c>
      <c r="O190" s="297"/>
      <c r="P190" s="297"/>
      <c r="Q190" s="297"/>
      <c r="R190" s="260"/>
      <c r="S190" s="260"/>
    </row>
    <row r="191" spans="3:19" x14ac:dyDescent="0.25">
      <c r="C191" s="280" t="s">
        <v>30</v>
      </c>
      <c r="H191" s="260">
        <f>H6+H8+H93</f>
        <v>924638.04999999993</v>
      </c>
      <c r="I191" s="260">
        <f t="shared" ref="I191:N191" si="39">I6+I8+I93</f>
        <v>0</v>
      </c>
      <c r="J191" s="260">
        <f t="shared" si="39"/>
        <v>924638.04999999993</v>
      </c>
      <c r="K191" s="260">
        <f t="shared" si="39"/>
        <v>911899.25</v>
      </c>
      <c r="L191" s="260">
        <f t="shared" si="39"/>
        <v>12738.799999999974</v>
      </c>
      <c r="M191" s="260">
        <f>M6+M8+M93</f>
        <v>911899.25</v>
      </c>
      <c r="N191" s="260">
        <f t="shared" si="39"/>
        <v>0</v>
      </c>
      <c r="O191" s="260"/>
      <c r="P191" s="260"/>
      <c r="Q191" s="260"/>
      <c r="R191" s="260"/>
      <c r="S191" s="260"/>
    </row>
    <row r="192" spans="3:19" x14ac:dyDescent="0.25">
      <c r="C192" s="280" t="s">
        <v>32</v>
      </c>
      <c r="H192" s="260">
        <f t="shared" ref="H192:N192" si="40">H126+H137+H138</f>
        <v>1263953.0899999999</v>
      </c>
      <c r="I192" s="260">
        <f t="shared" si="40"/>
        <v>0</v>
      </c>
      <c r="J192" s="260">
        <f t="shared" si="40"/>
        <v>1263953.0899999999</v>
      </c>
      <c r="K192" s="260">
        <f t="shared" si="40"/>
        <v>1153721.79</v>
      </c>
      <c r="L192" s="260">
        <f t="shared" si="40"/>
        <v>110231.29999999993</v>
      </c>
      <c r="M192" s="260">
        <f>M126+M137+M138</f>
        <v>1153721.79</v>
      </c>
      <c r="N192" s="260">
        <f t="shared" si="40"/>
        <v>0</v>
      </c>
      <c r="O192" s="260"/>
      <c r="P192" s="260"/>
      <c r="Q192" s="260"/>
      <c r="R192" s="260"/>
      <c r="S192" s="260"/>
    </row>
    <row r="193" spans="3:19" x14ac:dyDescent="0.25">
      <c r="H193" s="260"/>
      <c r="I193" s="260"/>
      <c r="J193" s="260"/>
      <c r="K193" s="260"/>
      <c r="L193" s="260"/>
      <c r="M193" s="260"/>
      <c r="N193" s="260"/>
      <c r="O193" s="260"/>
      <c r="P193" s="260"/>
      <c r="Q193" s="260"/>
      <c r="R193" s="260"/>
      <c r="S193" s="260"/>
    </row>
    <row r="194" spans="3:19" x14ac:dyDescent="0.25">
      <c r="C194" s="293">
        <v>300</v>
      </c>
      <c r="H194" s="297">
        <f>H195+H196</f>
        <v>53339365.939999998</v>
      </c>
      <c r="I194" s="297">
        <f t="shared" ref="I194:N194" si="41">I195+I196</f>
        <v>0</v>
      </c>
      <c r="J194" s="297">
        <f t="shared" si="41"/>
        <v>53339365.939999998</v>
      </c>
      <c r="K194" s="297">
        <f t="shared" si="41"/>
        <v>49209912.5</v>
      </c>
      <c r="L194" s="297">
        <f t="shared" si="41"/>
        <v>4129453.4399999995</v>
      </c>
      <c r="M194" s="297">
        <f t="shared" si="41"/>
        <v>49195230.310000002</v>
      </c>
      <c r="N194" s="297">
        <f t="shared" si="41"/>
        <v>14682.189999999711</v>
      </c>
      <c r="O194" s="297"/>
      <c r="P194" s="297"/>
      <c r="Q194" s="297"/>
      <c r="R194" s="260"/>
      <c r="S194" s="260"/>
    </row>
    <row r="195" spans="3:19" x14ac:dyDescent="0.25">
      <c r="C195" s="280" t="s">
        <v>30</v>
      </c>
      <c r="H195" s="260"/>
      <c r="I195" s="260"/>
      <c r="J195" s="260"/>
      <c r="K195" s="260"/>
      <c r="L195" s="260"/>
      <c r="M195" s="260"/>
      <c r="N195" s="260"/>
      <c r="O195" s="260"/>
      <c r="P195" s="260"/>
      <c r="Q195" s="260"/>
      <c r="R195" s="260"/>
      <c r="S195" s="260"/>
    </row>
    <row r="196" spans="3:19" x14ac:dyDescent="0.25">
      <c r="C196" s="280" t="s">
        <v>32</v>
      </c>
      <c r="H196" s="260">
        <f t="shared" ref="H196:N196" si="42">H121+H124+H125+H129+H130+H131+H132+H133</f>
        <v>53339365.939999998</v>
      </c>
      <c r="I196" s="260">
        <f t="shared" si="42"/>
        <v>0</v>
      </c>
      <c r="J196" s="260">
        <f t="shared" si="42"/>
        <v>53339365.939999998</v>
      </c>
      <c r="K196" s="260">
        <f t="shared" si="42"/>
        <v>49209912.5</v>
      </c>
      <c r="L196" s="260">
        <f t="shared" si="42"/>
        <v>4129453.4399999995</v>
      </c>
      <c r="M196" s="260">
        <f t="shared" si="42"/>
        <v>49195230.310000002</v>
      </c>
      <c r="N196" s="260">
        <f t="shared" si="42"/>
        <v>14682.189999999711</v>
      </c>
      <c r="O196" s="260"/>
      <c r="P196" s="260"/>
      <c r="Q196" s="260"/>
      <c r="R196" s="260"/>
      <c r="S196" s="260"/>
    </row>
    <row r="197" spans="3:19" x14ac:dyDescent="0.25">
      <c r="C197" s="280"/>
      <c r="H197" s="260"/>
      <c r="I197" s="260"/>
      <c r="J197" s="260"/>
      <c r="K197" s="260"/>
      <c r="L197" s="260"/>
      <c r="M197" s="260"/>
      <c r="N197" s="260"/>
      <c r="O197" s="260"/>
      <c r="P197" s="260"/>
      <c r="Q197" s="260"/>
      <c r="R197" s="260"/>
      <c r="S197" s="260"/>
    </row>
    <row r="198" spans="3:19" x14ac:dyDescent="0.25">
      <c r="C198" s="295">
        <v>800</v>
      </c>
      <c r="H198" s="260"/>
      <c r="I198" s="260"/>
      <c r="J198" s="260"/>
      <c r="K198" s="260"/>
      <c r="L198" s="260"/>
      <c r="M198" s="260"/>
      <c r="N198" s="260"/>
      <c r="O198" s="260"/>
      <c r="P198" s="260"/>
      <c r="Q198" s="260"/>
      <c r="R198" s="260"/>
      <c r="S198" s="260"/>
    </row>
    <row r="199" spans="3:19" x14ac:dyDescent="0.25">
      <c r="C199" s="280" t="s">
        <v>709</v>
      </c>
      <c r="H199" s="260"/>
      <c r="I199" s="260"/>
      <c r="J199" s="260"/>
      <c r="K199" s="260"/>
      <c r="L199" s="260"/>
      <c r="M199" s="260"/>
      <c r="N199" s="260"/>
      <c r="O199" s="260"/>
      <c r="P199" s="260"/>
      <c r="Q199" s="260"/>
      <c r="R199" s="260"/>
      <c r="S199" s="260"/>
    </row>
    <row r="200" spans="3:19" x14ac:dyDescent="0.25">
      <c r="H200" s="260"/>
      <c r="I200" s="260"/>
      <c r="J200" s="260"/>
      <c r="K200" s="260"/>
      <c r="L200" s="260"/>
      <c r="M200" s="260"/>
      <c r="N200" s="260"/>
      <c r="O200" s="260"/>
      <c r="P200" s="260"/>
      <c r="Q200" s="260"/>
      <c r="R200" s="260"/>
      <c r="S200" s="260"/>
    </row>
    <row r="201" spans="3:19" x14ac:dyDescent="0.25">
      <c r="C201" s="293" t="s">
        <v>710</v>
      </c>
      <c r="H201" s="297">
        <f>H202+H203</f>
        <v>80878132.310000002</v>
      </c>
      <c r="I201" s="297">
        <f t="shared" ref="I201:N201" si="43">I202+I203</f>
        <v>0</v>
      </c>
      <c r="J201" s="297">
        <f t="shared" si="43"/>
        <v>80878132.310000002</v>
      </c>
      <c r="K201" s="297">
        <f t="shared" si="43"/>
        <v>76521935.25</v>
      </c>
      <c r="L201" s="297">
        <f t="shared" si="43"/>
        <v>4356197.0599999996</v>
      </c>
      <c r="M201" s="297">
        <f t="shared" si="43"/>
        <v>76507253.060000002</v>
      </c>
      <c r="N201" s="297">
        <f t="shared" si="43"/>
        <v>14682.189999999711</v>
      </c>
      <c r="O201" s="297"/>
      <c r="P201" s="297"/>
      <c r="Q201" s="297"/>
      <c r="R201" s="260"/>
      <c r="S201" s="260"/>
    </row>
    <row r="202" spans="3:19" x14ac:dyDescent="0.25">
      <c r="C202" s="295" t="s">
        <v>30</v>
      </c>
      <c r="H202" s="260">
        <f>H187+H191+H195+H199</f>
        <v>19824785.370000001</v>
      </c>
      <c r="I202" s="260">
        <f t="shared" ref="I202:N202" si="44">I187+I191+I195+I199</f>
        <v>0</v>
      </c>
      <c r="J202" s="260">
        <f t="shared" si="44"/>
        <v>19824785.370000001</v>
      </c>
      <c r="K202" s="260">
        <f t="shared" si="44"/>
        <v>19812046.57</v>
      </c>
      <c r="L202" s="260">
        <f t="shared" si="44"/>
        <v>12738.799999999974</v>
      </c>
      <c r="M202" s="260">
        <f t="shared" si="44"/>
        <v>19812046.57</v>
      </c>
      <c r="N202" s="260">
        <f t="shared" si="44"/>
        <v>0</v>
      </c>
      <c r="O202" s="260"/>
      <c r="P202" s="260"/>
      <c r="Q202" s="260"/>
      <c r="R202" s="260"/>
      <c r="S202" s="260"/>
    </row>
    <row r="203" spans="3:19" x14ac:dyDescent="0.25">
      <c r="C203" s="295" t="s">
        <v>32</v>
      </c>
      <c r="H203" s="260">
        <f>H188+H192+H196</f>
        <v>61053346.939999998</v>
      </c>
      <c r="I203" s="260">
        <f t="shared" ref="I203:N203" si="45">I188+I192+I196</f>
        <v>0</v>
      </c>
      <c r="J203" s="260">
        <f t="shared" si="45"/>
        <v>61053346.939999998</v>
      </c>
      <c r="K203" s="260">
        <f t="shared" si="45"/>
        <v>56709888.68</v>
      </c>
      <c r="L203" s="260">
        <f t="shared" si="45"/>
        <v>4343458.26</v>
      </c>
      <c r="M203" s="260">
        <f t="shared" si="45"/>
        <v>56695206.490000002</v>
      </c>
      <c r="N203" s="260">
        <f t="shared" si="45"/>
        <v>14682.189999999711</v>
      </c>
      <c r="O203" s="260"/>
      <c r="P203" s="260"/>
      <c r="Q203" s="260"/>
      <c r="R203" s="260"/>
      <c r="S203" s="260"/>
    </row>
    <row r="204" spans="3:19" x14ac:dyDescent="0.25">
      <c r="H204" s="260"/>
      <c r="I204" s="260"/>
      <c r="J204" s="260"/>
      <c r="K204" s="260"/>
      <c r="L204" s="260"/>
      <c r="M204" s="260"/>
      <c r="N204" s="260"/>
      <c r="O204" s="260"/>
      <c r="P204" s="260"/>
      <c r="Q204" s="260"/>
      <c r="R204" s="260"/>
      <c r="S204" s="260"/>
    </row>
    <row r="205" spans="3:19" x14ac:dyDescent="0.25">
      <c r="C205" s="295" t="s">
        <v>30</v>
      </c>
      <c r="H205" s="260">
        <f>H202+H167+H171</f>
        <v>711743052.2700001</v>
      </c>
      <c r="I205" s="260">
        <f t="shared" ref="I205:N205" si="46">I202+I167+I171</f>
        <v>0</v>
      </c>
      <c r="J205" s="260">
        <f t="shared" si="46"/>
        <v>711743052.2700001</v>
      </c>
      <c r="K205" s="260">
        <f t="shared" si="46"/>
        <v>710800492.96999979</v>
      </c>
      <c r="L205" s="260">
        <f t="shared" si="46"/>
        <v>942559.30000000016</v>
      </c>
      <c r="M205" s="260">
        <f t="shared" si="46"/>
        <v>710790717.63999987</v>
      </c>
      <c r="N205" s="260">
        <f t="shared" si="46"/>
        <v>9775.3299999998562</v>
      </c>
      <c r="O205" s="260"/>
      <c r="P205" s="260"/>
      <c r="Q205" s="260"/>
      <c r="R205" s="260"/>
      <c r="S205" s="260"/>
    </row>
    <row r="206" spans="3:19" x14ac:dyDescent="0.25">
      <c r="C206" s="295" t="s">
        <v>32</v>
      </c>
      <c r="H206" s="260">
        <f>H203+H168</f>
        <v>1231508048.1600001</v>
      </c>
      <c r="I206" s="260">
        <f t="shared" ref="I206:N206" si="47">I203+I168</f>
        <v>0</v>
      </c>
      <c r="J206" s="260">
        <f t="shared" si="47"/>
        <v>1231508048.1600001</v>
      </c>
      <c r="K206" s="260">
        <f t="shared" si="47"/>
        <v>1211586837.3500001</v>
      </c>
      <c r="L206" s="260">
        <f t="shared" si="47"/>
        <v>19921210.810000002</v>
      </c>
      <c r="M206" s="260">
        <f t="shared" si="47"/>
        <v>1208124779.04</v>
      </c>
      <c r="N206" s="260">
        <f t="shared" si="47"/>
        <v>3462058.3099999968</v>
      </c>
      <c r="O206" s="260"/>
      <c r="P206" s="260"/>
      <c r="Q206" s="260"/>
      <c r="R206" s="260"/>
      <c r="S206" s="260"/>
    </row>
    <row r="207" spans="3:19" ht="10.5" customHeight="1" x14ac:dyDescent="0.25">
      <c r="H207" s="260"/>
      <c r="I207" s="260"/>
      <c r="J207" s="260"/>
      <c r="K207" s="260"/>
      <c r="L207" s="260"/>
      <c r="M207" s="260"/>
      <c r="N207" s="260"/>
      <c r="O207" s="260"/>
      <c r="P207" s="260"/>
      <c r="Q207" s="260"/>
      <c r="R207" s="260"/>
      <c r="S207" s="260"/>
    </row>
    <row r="208" spans="3:19" x14ac:dyDescent="0.25">
      <c r="C208" s="295" t="s">
        <v>711</v>
      </c>
      <c r="H208" s="260"/>
      <c r="I208" s="260"/>
      <c r="J208" s="260"/>
      <c r="K208" s="260"/>
      <c r="L208" s="260"/>
      <c r="M208" s="260"/>
      <c r="N208" s="260"/>
      <c r="O208" s="260"/>
      <c r="P208" s="260"/>
      <c r="Q208" s="260"/>
      <c r="R208" s="260"/>
      <c r="S208" s="260"/>
    </row>
    <row r="209" spans="2:19" x14ac:dyDescent="0.25">
      <c r="C209" s="295" t="s">
        <v>30</v>
      </c>
      <c r="H209" s="260">
        <f>H143-H205</f>
        <v>0</v>
      </c>
      <c r="I209" s="260">
        <f t="shared" ref="I209:N209" si="48">I143-I205</f>
        <v>0</v>
      </c>
      <c r="J209" s="260">
        <f t="shared" si="48"/>
        <v>0</v>
      </c>
      <c r="K209" s="260">
        <f t="shared" si="48"/>
        <v>0</v>
      </c>
      <c r="L209" s="260">
        <f t="shared" si="48"/>
        <v>0</v>
      </c>
      <c r="M209" s="260">
        <f t="shared" si="48"/>
        <v>0</v>
      </c>
      <c r="N209" s="260">
        <f t="shared" si="48"/>
        <v>0</v>
      </c>
      <c r="O209" s="260"/>
      <c r="P209" s="260"/>
      <c r="Q209" s="260"/>
      <c r="R209" s="260"/>
      <c r="S209" s="260"/>
    </row>
    <row r="210" spans="2:19" x14ac:dyDescent="0.25">
      <c r="C210" s="295" t="s">
        <v>32</v>
      </c>
      <c r="H210" s="260">
        <f>H141-H206</f>
        <v>0</v>
      </c>
      <c r="I210" s="260">
        <f t="shared" ref="I210:N210" si="49">I141-I206</f>
        <v>0</v>
      </c>
      <c r="J210" s="260">
        <f t="shared" si="49"/>
        <v>0</v>
      </c>
      <c r="K210" s="260">
        <f t="shared" si="49"/>
        <v>0</v>
      </c>
      <c r="L210" s="260">
        <f t="shared" si="49"/>
        <v>0</v>
      </c>
      <c r="M210" s="260">
        <f t="shared" si="49"/>
        <v>0</v>
      </c>
      <c r="N210" s="260">
        <f t="shared" si="49"/>
        <v>0</v>
      </c>
      <c r="O210" s="260"/>
      <c r="P210" s="260"/>
      <c r="Q210" s="260"/>
      <c r="R210" s="260"/>
      <c r="S210" s="260"/>
    </row>
    <row r="211" spans="2:19" x14ac:dyDescent="0.25">
      <c r="C211" s="295"/>
      <c r="H211" s="260"/>
      <c r="I211" s="260"/>
      <c r="J211" s="260"/>
      <c r="K211" s="260"/>
      <c r="L211" s="260"/>
      <c r="M211" s="260"/>
      <c r="N211" s="260"/>
      <c r="O211" s="260"/>
      <c r="P211" s="260"/>
      <c r="Q211" s="260"/>
      <c r="R211" s="260"/>
      <c r="S211" s="260"/>
    </row>
    <row r="212" spans="2:19" x14ac:dyDescent="0.25">
      <c r="C212" s="295"/>
      <c r="H212" s="260"/>
      <c r="I212" s="545" t="s">
        <v>712</v>
      </c>
      <c r="J212" s="545"/>
      <c r="K212" s="260" t="s">
        <v>713</v>
      </c>
      <c r="L212" s="260"/>
      <c r="M212" s="260"/>
      <c r="N212" s="260"/>
      <c r="O212" s="260"/>
      <c r="P212" s="260"/>
      <c r="Q212" s="260"/>
      <c r="R212" s="260"/>
      <c r="S212" s="260"/>
    </row>
    <row r="213" spans="2:19" x14ac:dyDescent="0.25">
      <c r="C213" s="295"/>
      <c r="H213" s="260" t="s">
        <v>714</v>
      </c>
      <c r="I213" s="298" t="s">
        <v>30</v>
      </c>
      <c r="J213" s="298" t="s">
        <v>32</v>
      </c>
      <c r="K213" s="260"/>
      <c r="L213" s="260"/>
      <c r="M213" s="260" t="s">
        <v>715</v>
      </c>
      <c r="N213" s="260"/>
      <c r="O213" s="260"/>
      <c r="P213" s="260"/>
      <c r="Q213" s="260"/>
      <c r="R213" s="260"/>
      <c r="S213" s="260"/>
    </row>
    <row r="214" spans="2:19" x14ac:dyDescent="0.25">
      <c r="C214" s="295" t="s">
        <v>716</v>
      </c>
      <c r="H214" s="260">
        <f>H215+H216</f>
        <v>894837845.71999991</v>
      </c>
      <c r="I214" s="260"/>
      <c r="J214" s="260"/>
      <c r="K214" s="260"/>
      <c r="L214" s="260"/>
      <c r="M214" s="260">
        <f>M215+M216</f>
        <v>901299948.75999987</v>
      </c>
      <c r="N214" s="260"/>
      <c r="O214" s="260"/>
      <c r="P214" s="260"/>
      <c r="Q214" s="260"/>
      <c r="R214" s="260"/>
      <c r="S214" s="260"/>
    </row>
    <row r="215" spans="2:19" x14ac:dyDescent="0.25">
      <c r="C215" s="295" t="s">
        <v>717</v>
      </c>
      <c r="H215" s="260">
        <f>H10+H16+H18+H20+H22+H28+H35+H39+H40+H51+H53+H54+H55+H56+H57+H58+H59+H60+H61+H62+H63+H66+H73+H75+H77+H85+H87+H89+H90+H92+H98+H100+H106+H109+H110+H111+H112+H113+H114+H115+H116+H117+H118+H119</f>
        <v>806634044.24999988</v>
      </c>
      <c r="I215" s="260">
        <v>21622.15</v>
      </c>
      <c r="J215" s="260">
        <v>6440480.8899999997</v>
      </c>
      <c r="K215" s="260">
        <f>I215+J215</f>
        <v>6462103.04</v>
      </c>
      <c r="L215" s="260"/>
      <c r="M215" s="260">
        <f>H215+I215+J215</f>
        <v>813096147.28999984</v>
      </c>
      <c r="N215" s="260"/>
      <c r="O215" s="260"/>
      <c r="P215" s="260"/>
      <c r="Q215" s="260"/>
      <c r="R215" s="260"/>
      <c r="S215" s="260"/>
    </row>
    <row r="216" spans="2:19" x14ac:dyDescent="0.25">
      <c r="C216" s="295" t="s">
        <v>718</v>
      </c>
      <c r="H216" s="260">
        <f>H12+H30+H34+H37+H45+H67+H69+H107+H120+H128+H41+H42+H25+H46+H48+H50+H32+H82+H83+H14+H108+H52+H78+H70</f>
        <v>88203801.469999984</v>
      </c>
      <c r="I216" s="260">
        <f>235825.73-235825.73</f>
        <v>0</v>
      </c>
      <c r="J216" s="260"/>
      <c r="K216" s="260">
        <f>I216+J216</f>
        <v>0</v>
      </c>
      <c r="L216" s="260"/>
      <c r="M216" s="260">
        <f>H216+I216+J216</f>
        <v>88203801.469999984</v>
      </c>
      <c r="N216" s="260"/>
      <c r="O216" s="260" t="s">
        <v>719</v>
      </c>
      <c r="P216" s="260" t="s">
        <v>719</v>
      </c>
      <c r="Q216" s="260"/>
      <c r="R216" s="260"/>
      <c r="S216" s="260"/>
    </row>
    <row r="217" spans="2:19" x14ac:dyDescent="0.25">
      <c r="C217" s="295"/>
      <c r="H217" s="260"/>
      <c r="I217" s="260"/>
      <c r="J217" s="260"/>
      <c r="K217" s="260"/>
      <c r="L217" s="260"/>
      <c r="M217" s="260">
        <f>M218+M219</f>
        <v>1845192466.27</v>
      </c>
      <c r="N217" s="260"/>
      <c r="O217" s="260" t="s">
        <v>720</v>
      </c>
      <c r="P217" s="260" t="s">
        <v>721</v>
      </c>
      <c r="Q217" s="260"/>
      <c r="R217" s="260"/>
      <c r="S217" s="260"/>
    </row>
    <row r="218" spans="2:19" x14ac:dyDescent="0.25">
      <c r="C218" s="295" t="s">
        <v>722</v>
      </c>
      <c r="H218" s="260">
        <f>H219+H220</f>
        <v>954492785</v>
      </c>
      <c r="I218" s="260"/>
      <c r="J218" s="260"/>
      <c r="K218" s="260">
        <f>I218+J218</f>
        <v>0</v>
      </c>
      <c r="L218" s="260"/>
      <c r="M218" s="260">
        <f>H218+I218+J218</f>
        <v>954492785</v>
      </c>
      <c r="N218" s="260"/>
      <c r="O218" s="260"/>
      <c r="P218" s="260"/>
      <c r="Q218" s="260"/>
      <c r="R218" s="260"/>
      <c r="S218" s="260"/>
    </row>
    <row r="219" spans="2:19" x14ac:dyDescent="0.25">
      <c r="C219" s="295" t="s">
        <v>717</v>
      </c>
      <c r="H219" s="260">
        <f>H9+H15+H17+H19+H21+H27+H38+H64+H72+H74+H76+H84+H86+H88+H91+H94+H95+H96+H97+H99+H101+H103+H104+H105</f>
        <v>890699681.25999999</v>
      </c>
      <c r="I219" s="260">
        <v>0.01</v>
      </c>
      <c r="J219" s="260"/>
      <c r="K219" s="260">
        <f>I219+J219</f>
        <v>0.01</v>
      </c>
      <c r="L219" s="260"/>
      <c r="M219" s="260">
        <f>H219+I219+J219</f>
        <v>890699681.26999998</v>
      </c>
      <c r="N219" s="260">
        <f>H219+I219+O219+P219</f>
        <v>890760048.71999991</v>
      </c>
      <c r="O219" s="260">
        <v>8574.7999999999993</v>
      </c>
      <c r="P219" s="260">
        <v>51792.65</v>
      </c>
      <c r="Q219" s="260"/>
      <c r="R219" s="260"/>
      <c r="S219" s="260"/>
    </row>
    <row r="220" spans="2:19" x14ac:dyDescent="0.25">
      <c r="C220" s="295" t="s">
        <v>718</v>
      </c>
      <c r="H220" s="260">
        <f>H11+H23+H29+H33+H36+H43+H65+H68+H80+H81+H102+H127+H47+H24+H49+H44+H13+H31+H79+H26</f>
        <v>63793103.739999995</v>
      </c>
      <c r="I220" s="260"/>
      <c r="J220" s="260"/>
      <c r="K220" s="260"/>
      <c r="L220" s="260"/>
      <c r="M220" s="260">
        <f>H220+I220+J220</f>
        <v>63793103.739999995</v>
      </c>
      <c r="N220" s="260"/>
      <c r="O220" s="260"/>
      <c r="P220" s="260"/>
      <c r="Q220" s="260"/>
      <c r="R220" s="260"/>
      <c r="S220" s="260"/>
    </row>
    <row r="221" spans="2:19" x14ac:dyDescent="0.25">
      <c r="C221" s="295"/>
      <c r="G221" s="260"/>
      <c r="H221" s="297">
        <f>H214+H218</f>
        <v>1849330630.7199998</v>
      </c>
      <c r="I221" s="260">
        <f>I215+I216+I219+I220</f>
        <v>21622.16</v>
      </c>
      <c r="J221" s="260">
        <f>J215+J216+J219+J220</f>
        <v>6440480.8899999997</v>
      </c>
      <c r="K221" s="297">
        <f>K215+K216+K218+K219</f>
        <v>6462103.0499999998</v>
      </c>
      <c r="L221" s="260"/>
      <c r="M221" s="297">
        <f>M215+M216+M218+M219</f>
        <v>2746492415.0299997</v>
      </c>
      <c r="N221" s="260"/>
      <c r="O221" s="260"/>
      <c r="P221" s="260"/>
      <c r="Q221" s="260"/>
      <c r="R221" s="260"/>
      <c r="S221" s="260"/>
    </row>
    <row r="222" spans="2:19" x14ac:dyDescent="0.25">
      <c r="C222" s="295"/>
      <c r="G222" s="260"/>
      <c r="H222" s="260">
        <f>H166-H221</f>
        <v>0</v>
      </c>
      <c r="I222" s="260"/>
      <c r="J222" s="260"/>
      <c r="K222" s="260"/>
      <c r="L222" s="260"/>
      <c r="M222" s="260"/>
      <c r="N222" s="260"/>
      <c r="O222" s="260"/>
      <c r="P222" s="260"/>
      <c r="Q222" s="260"/>
      <c r="R222" s="260"/>
      <c r="S222" s="260"/>
    </row>
    <row r="223" spans="2:19" ht="9.75" customHeight="1" x14ac:dyDescent="0.25">
      <c r="C223" s="295"/>
      <c r="G223" s="260"/>
      <c r="H223" s="260"/>
      <c r="I223" s="260"/>
      <c r="J223" s="260"/>
      <c r="K223" s="260"/>
      <c r="L223" s="260"/>
      <c r="M223" s="260"/>
      <c r="N223" s="260"/>
      <c r="O223" s="260"/>
      <c r="P223" s="260"/>
      <c r="Q223" s="260"/>
      <c r="R223" s="260"/>
      <c r="S223" s="260"/>
    </row>
    <row r="224" spans="2:19" ht="19.5" customHeight="1" x14ac:dyDescent="0.25">
      <c r="B224" s="247" t="s">
        <v>723</v>
      </c>
      <c r="C224" s="295" t="s">
        <v>724</v>
      </c>
      <c r="H224" s="297">
        <f>H225+H226</f>
        <v>1855853101.2200003</v>
      </c>
      <c r="I224" s="260"/>
      <c r="J224" s="260" t="s">
        <v>725</v>
      </c>
      <c r="K224" s="260" t="s">
        <v>726</v>
      </c>
      <c r="L224" s="260"/>
      <c r="M224" s="260"/>
      <c r="N224" s="260"/>
      <c r="O224" s="260"/>
      <c r="P224" s="260"/>
      <c r="Q224" s="260"/>
      <c r="R224" s="260"/>
      <c r="S224" s="260"/>
    </row>
    <row r="225" spans="3:20" x14ac:dyDescent="0.25">
      <c r="C225" s="295" t="s">
        <v>30</v>
      </c>
      <c r="H225" s="260">
        <f>H167+I215+I216+I218+I219+O219+P219</f>
        <v>678957919.11000001</v>
      </c>
      <c r="I225" s="260"/>
      <c r="J225" s="260">
        <v>678957919.11000001</v>
      </c>
      <c r="K225" s="260">
        <f>I43+I45</f>
        <v>0</v>
      </c>
      <c r="L225" s="260">
        <f>H225-J225-K225</f>
        <v>0</v>
      </c>
      <c r="M225" s="260"/>
      <c r="N225" s="260"/>
      <c r="O225" s="260"/>
      <c r="P225" s="260"/>
      <c r="Q225" s="260"/>
      <c r="R225" s="260"/>
      <c r="S225" s="260"/>
      <c r="T225" s="260"/>
    </row>
    <row r="226" spans="3:20" x14ac:dyDescent="0.25">
      <c r="C226" s="295" t="s">
        <v>32</v>
      </c>
      <c r="H226" s="260">
        <f>H168+J215+J216+J219+J220</f>
        <v>1176895182.1100001</v>
      </c>
      <c r="I226" s="260"/>
      <c r="J226" s="260">
        <v>1176895182.1099999</v>
      </c>
      <c r="K226" s="260"/>
      <c r="L226" s="260">
        <f>H226-K226-J226</f>
        <v>0</v>
      </c>
      <c r="M226" s="260"/>
      <c r="N226" s="260"/>
      <c r="O226" s="260"/>
      <c r="P226" s="260"/>
      <c r="Q226" s="260"/>
      <c r="R226" s="260"/>
      <c r="S226" s="260"/>
      <c r="T226" s="260"/>
    </row>
    <row r="227" spans="3:20" ht="19.5" customHeight="1" x14ac:dyDescent="0.25">
      <c r="C227" s="295"/>
      <c r="G227" s="247" t="s">
        <v>727</v>
      </c>
      <c r="H227" s="297">
        <f>H224-H166-O219-P219</f>
        <v>6462103.0499999998</v>
      </c>
      <c r="I227" s="260"/>
      <c r="J227" s="260"/>
      <c r="K227" s="260"/>
      <c r="L227" s="260">
        <f>L226+L225</f>
        <v>0</v>
      </c>
      <c r="M227" s="260"/>
      <c r="N227" s="260"/>
      <c r="O227" s="260"/>
      <c r="P227" s="260"/>
      <c r="Q227" s="260"/>
      <c r="R227" s="260"/>
      <c r="S227" s="260"/>
    </row>
    <row r="228" spans="3:20" ht="15.75" customHeight="1" x14ac:dyDescent="0.25">
      <c r="C228" s="295"/>
      <c r="H228" s="260"/>
      <c r="I228" s="260"/>
      <c r="J228" s="260"/>
      <c r="K228" s="260"/>
      <c r="L228" s="260"/>
      <c r="M228" s="260"/>
      <c r="N228" s="260"/>
      <c r="O228" s="260"/>
      <c r="P228" s="260"/>
      <c r="Q228" s="260"/>
      <c r="R228" s="260"/>
      <c r="S228" s="260"/>
    </row>
    <row r="229" spans="3:20" x14ac:dyDescent="0.25">
      <c r="C229" s="295" t="s">
        <v>672</v>
      </c>
      <c r="G229" s="260">
        <f>H230+G231</f>
        <v>46706089.420000002</v>
      </c>
      <c r="H229" s="260">
        <f>H230+H231</f>
        <v>46706089.420000002</v>
      </c>
      <c r="I229" s="260">
        <f t="shared" ref="I229:N229" si="50">I230+I231</f>
        <v>0</v>
      </c>
      <c r="J229" s="260">
        <f t="shared" si="50"/>
        <v>25746044.729999997</v>
      </c>
      <c r="K229" s="260">
        <f t="shared" si="50"/>
        <v>25746044.729999997</v>
      </c>
      <c r="L229" s="260">
        <f t="shared" si="50"/>
        <v>0</v>
      </c>
      <c r="M229" s="260">
        <f t="shared" si="50"/>
        <v>25746044.729999997</v>
      </c>
      <c r="N229" s="260">
        <f t="shared" si="50"/>
        <v>0</v>
      </c>
      <c r="O229" s="260"/>
      <c r="P229" s="260"/>
      <c r="Q229" s="260"/>
      <c r="R229" s="260"/>
      <c r="S229" s="260"/>
    </row>
    <row r="230" spans="3:20" x14ac:dyDescent="0.25">
      <c r="C230" s="295" t="s">
        <v>728</v>
      </c>
      <c r="H230" s="260">
        <f>H15+H16+H54+H103+H110+Q72+Q73</f>
        <v>30536796.120000001</v>
      </c>
      <c r="I230" s="260">
        <f t="shared" ref="I230:N230" si="51">I15+I16+I54+I103+I110</f>
        <v>0</v>
      </c>
      <c r="J230" s="260">
        <f t="shared" si="51"/>
        <v>17366134.309999999</v>
      </c>
      <c r="K230" s="260">
        <f t="shared" si="51"/>
        <v>17366134.309999999</v>
      </c>
      <c r="L230" s="260">
        <f t="shared" si="51"/>
        <v>0</v>
      </c>
      <c r="M230" s="260">
        <f>M15+M16+M54+M103+M110</f>
        <v>17366134.309999999</v>
      </c>
      <c r="N230" s="260">
        <f t="shared" si="51"/>
        <v>0</v>
      </c>
      <c r="O230" s="260"/>
      <c r="P230" s="260">
        <f>(Q72+Q73)/12*11</f>
        <v>12073106.659166668</v>
      </c>
      <c r="Q230" s="260"/>
      <c r="R230" s="260"/>
      <c r="S230" s="260"/>
    </row>
    <row r="231" spans="3:20" x14ac:dyDescent="0.25">
      <c r="C231" s="295" t="s">
        <v>30</v>
      </c>
      <c r="G231" s="260">
        <f>H231-H119</f>
        <v>16169293.299999999</v>
      </c>
      <c r="H231" s="260">
        <f>H19+H20+H21+H22+H61+H63+H104+H105+H117+H119+Q74+Q75+Q76+Q77</f>
        <v>16169293.299999999</v>
      </c>
      <c r="I231" s="260">
        <f t="shared" ref="I231:N231" si="52">I19+I20+I21+I22+I61+I63+I104+I105+I117+I119</f>
        <v>0</v>
      </c>
      <c r="J231" s="260">
        <f t="shared" si="52"/>
        <v>8379910.4199999999</v>
      </c>
      <c r="K231" s="260">
        <f t="shared" si="52"/>
        <v>8379910.4199999999</v>
      </c>
      <c r="L231" s="260">
        <f t="shared" si="52"/>
        <v>0</v>
      </c>
      <c r="M231" s="260">
        <f>M19+M20+M21+M22+M61+M63+M104+M105+M117+M119</f>
        <v>8379910.4199999999</v>
      </c>
      <c r="N231" s="260">
        <f t="shared" si="52"/>
        <v>0</v>
      </c>
      <c r="O231" s="260"/>
      <c r="P231" s="260">
        <f>(Q74+Q75+Q76+Q77)/12*11</f>
        <v>7140267.6400000015</v>
      </c>
      <c r="Q231" s="260"/>
      <c r="R231" s="260"/>
      <c r="S231" s="260"/>
    </row>
    <row r="232" spans="3:20" x14ac:dyDescent="0.25">
      <c r="C232" s="295" t="s">
        <v>729</v>
      </c>
      <c r="H232" s="260">
        <f>P72+P73+P74+P75+P76+P77</f>
        <v>112868096.10000001</v>
      </c>
      <c r="I232" s="260"/>
      <c r="J232" s="260"/>
      <c r="K232" s="260"/>
      <c r="L232" s="260"/>
      <c r="M232" s="260"/>
      <c r="N232" s="260"/>
      <c r="O232" s="260"/>
      <c r="P232" s="260">
        <f>M229+P230+P231</f>
        <v>44959419.029166669</v>
      </c>
      <c r="Q232" s="260"/>
      <c r="R232" s="260"/>
      <c r="S232" s="260"/>
    </row>
    <row r="233" spans="3:20" x14ac:dyDescent="0.25">
      <c r="C233" s="295" t="s">
        <v>730</v>
      </c>
      <c r="D233" s="247" t="s">
        <v>731</v>
      </c>
      <c r="H233" s="260">
        <f t="shared" ref="H233:N233" si="53">H35+H40</f>
        <v>615378.57999999996</v>
      </c>
      <c r="I233" s="260">
        <f t="shared" si="53"/>
        <v>0</v>
      </c>
      <c r="J233" s="260">
        <f t="shared" si="53"/>
        <v>615378.57999999996</v>
      </c>
      <c r="K233" s="260">
        <f t="shared" si="53"/>
        <v>615378.57999999996</v>
      </c>
      <c r="L233" s="260">
        <f t="shared" si="53"/>
        <v>0</v>
      </c>
      <c r="M233" s="260">
        <f t="shared" si="53"/>
        <v>615378.57999999996</v>
      </c>
      <c r="N233" s="260">
        <f t="shared" si="53"/>
        <v>0</v>
      </c>
      <c r="O233" s="260"/>
      <c r="P233" s="260"/>
      <c r="Q233" s="260"/>
      <c r="R233" s="260"/>
      <c r="S233" s="260"/>
    </row>
    <row r="234" spans="3:20" x14ac:dyDescent="0.25">
      <c r="H234" s="260"/>
      <c r="I234" s="260"/>
      <c r="J234" s="260"/>
      <c r="K234" s="260"/>
      <c r="L234" s="260"/>
      <c r="M234" s="260"/>
      <c r="N234" s="260"/>
      <c r="O234" s="260"/>
      <c r="P234" s="260"/>
      <c r="Q234" s="260"/>
      <c r="R234" s="260"/>
      <c r="S234" s="260"/>
    </row>
    <row r="235" spans="3:20" x14ac:dyDescent="0.25">
      <c r="H235" s="260">
        <f>H229+H232+H233</f>
        <v>160189564.10000002</v>
      </c>
      <c r="I235" s="260">
        <f t="shared" ref="I235:N235" si="54">I229+I232+I233</f>
        <v>0</v>
      </c>
      <c r="J235" s="260">
        <f t="shared" si="54"/>
        <v>26361423.309999995</v>
      </c>
      <c r="K235" s="260">
        <f t="shared" si="54"/>
        <v>26361423.309999995</v>
      </c>
      <c r="L235" s="260">
        <f t="shared" si="54"/>
        <v>0</v>
      </c>
      <c r="M235" s="260">
        <f t="shared" si="54"/>
        <v>26361423.309999995</v>
      </c>
      <c r="N235" s="260">
        <f t="shared" si="54"/>
        <v>0</v>
      </c>
      <c r="O235" s="260"/>
      <c r="P235" s="260"/>
      <c r="Q235" s="260"/>
      <c r="R235" s="260"/>
      <c r="S235" s="260"/>
    </row>
    <row r="236" spans="3:20" x14ac:dyDescent="0.25">
      <c r="H236" s="260"/>
      <c r="I236" s="260"/>
      <c r="J236" s="260"/>
      <c r="K236" s="260"/>
      <c r="L236" s="260"/>
      <c r="M236" s="260"/>
      <c r="N236" s="260"/>
      <c r="O236" s="260"/>
      <c r="P236" s="260"/>
      <c r="Q236" s="260"/>
      <c r="R236" s="260"/>
      <c r="S236" s="260"/>
    </row>
    <row r="237" spans="3:20" x14ac:dyDescent="0.25">
      <c r="C237" s="247" t="s">
        <v>732</v>
      </c>
      <c r="H237" s="260">
        <f>H15+H16+H19+H20+H21+H22+H35+H40+H54+H61+H63+H72+H73+H74+H75+H76+H77+H103+H104+H105+H110+H117+H119</f>
        <v>160189564.09999999</v>
      </c>
      <c r="I237" s="260">
        <f t="shared" ref="I237:N237" si="55">I15+I16+I19+I20+I21+I22+I35+I40+I54+I61+I63+I72+I73+I74+I75+I76+I77+I103+I104+I105+I110+I117+I119</f>
        <v>0</v>
      </c>
      <c r="J237" s="260">
        <f t="shared" si="55"/>
        <v>160189564.09999999</v>
      </c>
      <c r="K237" s="260">
        <f t="shared" si="55"/>
        <v>160189564.09999999</v>
      </c>
      <c r="L237" s="260">
        <f t="shared" si="55"/>
        <v>0</v>
      </c>
      <c r="M237" s="260">
        <f t="shared" si="55"/>
        <v>160189564.09999999</v>
      </c>
      <c r="N237" s="260">
        <f t="shared" si="55"/>
        <v>0</v>
      </c>
      <c r="O237" s="260"/>
      <c r="P237" s="260"/>
      <c r="Q237" s="260"/>
      <c r="R237" s="260"/>
      <c r="S237" s="260"/>
    </row>
    <row r="238" spans="3:20" x14ac:dyDescent="0.25">
      <c r="C238" s="247" t="s">
        <v>733</v>
      </c>
      <c r="D238" s="247" t="s">
        <v>734</v>
      </c>
      <c r="H238" s="260">
        <f t="shared" ref="H238:N238" si="56">H15+H16+H35+H54+H72+H73+H103+H110</f>
        <v>44858257.049999997</v>
      </c>
      <c r="I238" s="260">
        <f t="shared" si="56"/>
        <v>0</v>
      </c>
      <c r="J238" s="260">
        <f t="shared" si="56"/>
        <v>44858257.049999997</v>
      </c>
      <c r="K238" s="260">
        <f t="shared" si="56"/>
        <v>44858257.049999997</v>
      </c>
      <c r="L238" s="260">
        <f t="shared" si="56"/>
        <v>0</v>
      </c>
      <c r="M238" s="260">
        <f t="shared" si="56"/>
        <v>44858257.049999997</v>
      </c>
      <c r="N238" s="260">
        <f t="shared" si="56"/>
        <v>0</v>
      </c>
      <c r="O238" s="260"/>
      <c r="P238" s="260"/>
      <c r="Q238" s="260"/>
      <c r="R238" s="260"/>
      <c r="S238" s="260"/>
    </row>
    <row r="239" spans="3:20" x14ac:dyDescent="0.25">
      <c r="H239" s="260"/>
      <c r="I239" s="260"/>
      <c r="J239" s="260"/>
      <c r="K239" s="260"/>
      <c r="L239" s="260"/>
      <c r="M239" s="260"/>
      <c r="N239" s="260"/>
      <c r="O239" s="260"/>
      <c r="P239" s="260"/>
      <c r="Q239" s="260"/>
      <c r="R239" s="260"/>
      <c r="S239" s="260"/>
    </row>
    <row r="240" spans="3:20" x14ac:dyDescent="0.25">
      <c r="C240" s="247" t="s">
        <v>735</v>
      </c>
      <c r="G240" s="247" t="s">
        <v>736</v>
      </c>
      <c r="H240" s="260">
        <f t="shared" ref="H240:M240" si="57">H15+H16+H35+H54+H72+H73+H103+H110</f>
        <v>44858257.049999997</v>
      </c>
      <c r="I240" s="260">
        <f t="shared" si="57"/>
        <v>0</v>
      </c>
      <c r="J240" s="260">
        <f t="shared" si="57"/>
        <v>44858257.049999997</v>
      </c>
      <c r="K240" s="260">
        <f t="shared" si="57"/>
        <v>44858257.049999997</v>
      </c>
      <c r="L240" s="260">
        <f t="shared" si="57"/>
        <v>0</v>
      </c>
      <c r="M240" s="260">
        <f t="shared" si="57"/>
        <v>44858257.049999997</v>
      </c>
      <c r="N240" s="260"/>
      <c r="O240" s="260"/>
      <c r="P240" s="260"/>
      <c r="Q240" s="260"/>
      <c r="R240" s="260"/>
      <c r="S240" s="260"/>
    </row>
    <row r="241" spans="3:19" x14ac:dyDescent="0.25">
      <c r="G241" s="247" t="s">
        <v>737</v>
      </c>
      <c r="H241" s="260">
        <f t="shared" ref="H241:M241" si="58">H19+H20+H40+H61+H104+H117+H74+H75</f>
        <v>3637155.9699999997</v>
      </c>
      <c r="I241" s="260">
        <f t="shared" si="58"/>
        <v>0</v>
      </c>
      <c r="J241" s="260">
        <f t="shared" si="58"/>
        <v>3637155.9699999997</v>
      </c>
      <c r="K241" s="260">
        <f t="shared" si="58"/>
        <v>3637155.9699999997</v>
      </c>
      <c r="L241" s="260">
        <f t="shared" si="58"/>
        <v>0</v>
      </c>
      <c r="M241" s="260">
        <f t="shared" si="58"/>
        <v>3637155.9699999997</v>
      </c>
      <c r="N241" s="260"/>
      <c r="O241" s="260"/>
      <c r="P241" s="260"/>
      <c r="Q241" s="260"/>
      <c r="R241" s="260"/>
      <c r="S241" s="260"/>
    </row>
    <row r="242" spans="3:19" x14ac:dyDescent="0.25">
      <c r="H242" s="260">
        <f t="shared" ref="H242:M242" si="59">H240+H241</f>
        <v>48495413.019999996</v>
      </c>
      <c r="I242" s="260">
        <f t="shared" si="59"/>
        <v>0</v>
      </c>
      <c r="J242" s="260">
        <f t="shared" si="59"/>
        <v>48495413.019999996</v>
      </c>
      <c r="K242" s="260">
        <f t="shared" si="59"/>
        <v>48495413.019999996</v>
      </c>
      <c r="L242" s="260">
        <f t="shared" si="59"/>
        <v>0</v>
      </c>
      <c r="M242" s="260">
        <f t="shared" si="59"/>
        <v>48495413.019999996</v>
      </c>
      <c r="N242" s="260"/>
      <c r="O242" s="260"/>
      <c r="P242" s="260"/>
      <c r="Q242" s="260"/>
      <c r="R242" s="260"/>
      <c r="S242" s="260"/>
    </row>
    <row r="243" spans="3:19" ht="30" customHeight="1" x14ac:dyDescent="0.25">
      <c r="H243" s="299">
        <f>H246+H249+H252</f>
        <v>48495413.019999996</v>
      </c>
      <c r="I243" s="260"/>
      <c r="J243" s="260"/>
      <c r="K243" s="260"/>
      <c r="L243" s="260"/>
      <c r="M243" s="299"/>
      <c r="N243" s="260"/>
      <c r="O243" s="260"/>
      <c r="P243" s="260"/>
      <c r="Q243" s="260"/>
      <c r="R243" s="260"/>
      <c r="S243" s="260"/>
    </row>
    <row r="244" spans="3:19" ht="19.5" customHeight="1" x14ac:dyDescent="0.25">
      <c r="H244" s="299"/>
      <c r="I244" s="260"/>
      <c r="J244" s="260"/>
      <c r="K244" s="260"/>
      <c r="L244" s="260"/>
      <c r="M244" s="299"/>
      <c r="N244" s="260"/>
      <c r="O244" s="260"/>
      <c r="P244" s="260"/>
      <c r="Q244" s="260"/>
      <c r="R244" s="260"/>
      <c r="S244" s="260"/>
    </row>
    <row r="245" spans="3:19" ht="21" customHeight="1" x14ac:dyDescent="0.25">
      <c r="H245" s="299"/>
      <c r="I245" s="260"/>
      <c r="J245" s="260"/>
      <c r="K245" s="260"/>
      <c r="L245" s="260"/>
      <c r="M245" s="299"/>
      <c r="N245" s="260"/>
      <c r="O245" s="260"/>
      <c r="P245" s="260"/>
      <c r="Q245" s="260"/>
      <c r="R245" s="260"/>
      <c r="S245" s="260"/>
    </row>
    <row r="246" spans="3:19" ht="18" customHeight="1" x14ac:dyDescent="0.25">
      <c r="C246" s="295" t="s">
        <v>672</v>
      </c>
      <c r="H246" s="299">
        <f t="shared" ref="H246:M246" si="60">H247+H248</f>
        <v>33012752.559999999</v>
      </c>
      <c r="I246" s="299">
        <f t="shared" si="60"/>
        <v>0</v>
      </c>
      <c r="J246" s="299">
        <f t="shared" si="60"/>
        <v>0</v>
      </c>
      <c r="K246" s="299">
        <f t="shared" si="60"/>
        <v>0</v>
      </c>
      <c r="L246" s="299">
        <f t="shared" si="60"/>
        <v>0</v>
      </c>
      <c r="M246" s="299">
        <f t="shared" si="60"/>
        <v>18774199.259999998</v>
      </c>
      <c r="N246" s="260"/>
      <c r="O246" s="260"/>
      <c r="P246" s="260"/>
      <c r="Q246" s="260"/>
      <c r="R246" s="260"/>
      <c r="S246" s="260"/>
    </row>
    <row r="247" spans="3:19" x14ac:dyDescent="0.25">
      <c r="C247" s="295" t="s">
        <v>728</v>
      </c>
      <c r="H247" s="260">
        <f>H15+H16+H54+Q72+Q73+H103+H110</f>
        <v>30536796.119999997</v>
      </c>
      <c r="I247" s="260"/>
      <c r="J247" s="260"/>
      <c r="K247" s="260"/>
      <c r="L247" s="260"/>
      <c r="M247" s="260">
        <f>M15+M16+M54+M103+M110</f>
        <v>17366134.309999999</v>
      </c>
      <c r="N247" s="260"/>
      <c r="O247" s="260"/>
      <c r="P247" s="260"/>
      <c r="Q247" s="260"/>
      <c r="R247" s="260"/>
      <c r="S247" s="260"/>
    </row>
    <row r="248" spans="3:19" x14ac:dyDescent="0.25">
      <c r="C248" s="295" t="s">
        <v>738</v>
      </c>
      <c r="H248" s="300">
        <f>H19+H20+H61+H104+H117+Q74+Q75</f>
        <v>2475956.44</v>
      </c>
      <c r="I248" s="260"/>
      <c r="J248" s="260"/>
      <c r="K248" s="260"/>
      <c r="L248" s="260"/>
      <c r="M248" s="260">
        <f>M19+M20+M61+M104+M117</f>
        <v>1408064.95</v>
      </c>
      <c r="N248" s="260"/>
      <c r="O248" s="260"/>
      <c r="P248" s="260"/>
      <c r="Q248" s="260"/>
      <c r="R248" s="260"/>
      <c r="S248" s="260"/>
    </row>
    <row r="249" spans="3:19" x14ac:dyDescent="0.25">
      <c r="C249" s="295" t="s">
        <v>729</v>
      </c>
      <c r="H249" s="299">
        <f t="shared" ref="H249:M249" si="61">H250+H251</f>
        <v>14867281.880000001</v>
      </c>
      <c r="I249" s="299">
        <f t="shared" si="61"/>
        <v>0</v>
      </c>
      <c r="J249" s="299">
        <f t="shared" si="61"/>
        <v>0</v>
      </c>
      <c r="K249" s="299">
        <f t="shared" si="61"/>
        <v>0</v>
      </c>
      <c r="L249" s="299">
        <f t="shared" si="61"/>
        <v>0</v>
      </c>
      <c r="M249" s="299">
        <f t="shared" si="61"/>
        <v>0</v>
      </c>
      <c r="N249" s="260"/>
      <c r="O249" s="260"/>
      <c r="P249" s="260"/>
      <c r="Q249" s="260"/>
      <c r="R249" s="260"/>
      <c r="S249" s="260"/>
    </row>
    <row r="250" spans="3:19" x14ac:dyDescent="0.25">
      <c r="C250" s="295" t="s">
        <v>728</v>
      </c>
      <c r="H250" s="260">
        <f>P72+P73</f>
        <v>13752235.74</v>
      </c>
      <c r="I250" s="260"/>
      <c r="J250" s="260"/>
      <c r="K250" s="260"/>
      <c r="L250" s="260"/>
      <c r="M250" s="273"/>
      <c r="N250" s="260"/>
      <c r="O250" s="260"/>
      <c r="P250" s="260"/>
      <c r="Q250" s="260"/>
      <c r="R250" s="260"/>
      <c r="S250" s="260"/>
    </row>
    <row r="251" spans="3:19" x14ac:dyDescent="0.25">
      <c r="C251" s="295" t="s">
        <v>738</v>
      </c>
      <c r="H251" s="260">
        <f>P74+P75</f>
        <v>1115046.1400000001</v>
      </c>
      <c r="I251" s="260"/>
      <c r="J251" s="260"/>
      <c r="K251" s="260"/>
      <c r="L251" s="260"/>
      <c r="M251" s="273"/>
      <c r="N251" s="260"/>
      <c r="O251" s="260"/>
      <c r="P251" s="260"/>
      <c r="Q251" s="260"/>
      <c r="R251" s="260"/>
      <c r="S251" s="260"/>
    </row>
    <row r="252" spans="3:19" x14ac:dyDescent="0.25">
      <c r="C252" s="295" t="s">
        <v>730</v>
      </c>
      <c r="H252" s="299">
        <f t="shared" ref="H252:M252" si="62">H253+H254</f>
        <v>615378.57999999996</v>
      </c>
      <c r="I252" s="299">
        <f t="shared" si="62"/>
        <v>0</v>
      </c>
      <c r="J252" s="299">
        <f t="shared" si="62"/>
        <v>615378.57999999996</v>
      </c>
      <c r="K252" s="299">
        <f t="shared" si="62"/>
        <v>615378.57999999996</v>
      </c>
      <c r="L252" s="299">
        <f t="shared" si="62"/>
        <v>0</v>
      </c>
      <c r="M252" s="299">
        <f t="shared" si="62"/>
        <v>615378.57999999996</v>
      </c>
      <c r="N252" s="260"/>
      <c r="O252" s="260"/>
      <c r="P252" s="260"/>
      <c r="Q252" s="260"/>
      <c r="R252" s="260"/>
      <c r="S252" s="260"/>
    </row>
    <row r="253" spans="3:19" x14ac:dyDescent="0.25">
      <c r="C253" s="295" t="s">
        <v>728</v>
      </c>
      <c r="H253" s="260">
        <f t="shared" ref="H253:M253" si="63">H35</f>
        <v>569225.18999999994</v>
      </c>
      <c r="I253" s="260">
        <f t="shared" si="63"/>
        <v>0</v>
      </c>
      <c r="J253" s="260">
        <f t="shared" si="63"/>
        <v>569225.18999999994</v>
      </c>
      <c r="K253" s="260">
        <f t="shared" si="63"/>
        <v>569225.18999999994</v>
      </c>
      <c r="L253" s="260">
        <f t="shared" si="63"/>
        <v>0</v>
      </c>
      <c r="M253" s="260">
        <f t="shared" si="63"/>
        <v>569225.18999999994</v>
      </c>
      <c r="N253" s="260"/>
      <c r="O253" s="260"/>
      <c r="P253" s="260"/>
      <c r="Q253" s="260"/>
      <c r="R253" s="260"/>
      <c r="S253" s="260"/>
    </row>
    <row r="254" spans="3:19" x14ac:dyDescent="0.25">
      <c r="C254" s="295" t="s">
        <v>738</v>
      </c>
      <c r="H254" s="260">
        <f t="shared" ref="H254:M254" si="64">H40</f>
        <v>46153.39</v>
      </c>
      <c r="I254" s="260">
        <f t="shared" si="64"/>
        <v>0</v>
      </c>
      <c r="J254" s="260">
        <f t="shared" si="64"/>
        <v>46153.39</v>
      </c>
      <c r="K254" s="260">
        <f t="shared" si="64"/>
        <v>46153.39</v>
      </c>
      <c r="L254" s="260">
        <f t="shared" si="64"/>
        <v>0</v>
      </c>
      <c r="M254" s="260">
        <f t="shared" si="64"/>
        <v>46153.39</v>
      </c>
      <c r="N254" s="260"/>
      <c r="O254" s="260"/>
      <c r="P254" s="260"/>
      <c r="Q254" s="260"/>
      <c r="R254" s="260"/>
      <c r="S254" s="260"/>
    </row>
    <row r="255" spans="3:19" x14ac:dyDescent="0.25">
      <c r="C255" s="295"/>
      <c r="H255" s="260"/>
      <c r="I255" s="260"/>
      <c r="J255" s="260"/>
      <c r="K255" s="260"/>
      <c r="L255" s="260"/>
      <c r="M255" s="260"/>
      <c r="N255" s="260"/>
      <c r="O255" s="260"/>
      <c r="P255" s="260"/>
      <c r="Q255" s="260"/>
      <c r="R255" s="260"/>
      <c r="S255" s="260"/>
    </row>
    <row r="256" spans="3:19" x14ac:dyDescent="0.25">
      <c r="C256" s="295"/>
      <c r="H256" s="260"/>
      <c r="I256" s="260"/>
      <c r="J256" s="260"/>
      <c r="K256" s="260"/>
      <c r="L256" s="260"/>
      <c r="M256" s="260"/>
      <c r="N256" s="260"/>
      <c r="O256" s="260"/>
      <c r="P256" s="260"/>
      <c r="Q256" s="260"/>
      <c r="R256" s="260"/>
      <c r="S256" s="260"/>
    </row>
    <row r="257" spans="3:19" x14ac:dyDescent="0.25">
      <c r="C257" s="295"/>
      <c r="H257" s="260"/>
      <c r="I257" s="260"/>
      <c r="J257" s="260"/>
      <c r="K257" s="260"/>
      <c r="L257" s="260"/>
      <c r="M257" s="260"/>
      <c r="N257" s="260"/>
      <c r="O257" s="260"/>
      <c r="P257" s="260"/>
      <c r="Q257" s="260"/>
      <c r="R257" s="260"/>
      <c r="S257" s="260"/>
    </row>
    <row r="258" spans="3:19" x14ac:dyDescent="0.25">
      <c r="C258" s="301" t="s">
        <v>739</v>
      </c>
      <c r="H258" s="260" t="s">
        <v>740</v>
      </c>
      <c r="I258" s="260"/>
      <c r="J258" s="260"/>
      <c r="K258" s="260"/>
      <c r="L258" s="260"/>
      <c r="M258" s="260" t="s">
        <v>741</v>
      </c>
      <c r="N258" s="260"/>
      <c r="O258" s="260"/>
      <c r="P258" s="260"/>
      <c r="Q258" s="260"/>
      <c r="R258" s="260"/>
      <c r="S258" s="260"/>
    </row>
    <row r="259" spans="3:19" x14ac:dyDescent="0.25">
      <c r="H259" s="260"/>
      <c r="I259" s="260"/>
      <c r="J259" s="260"/>
      <c r="K259" s="260"/>
      <c r="L259" s="260"/>
      <c r="M259" s="260"/>
      <c r="N259" s="260"/>
      <c r="O259" s="260"/>
      <c r="P259" s="260"/>
      <c r="Q259" s="260"/>
      <c r="R259" s="260"/>
      <c r="S259" s="260"/>
    </row>
    <row r="260" spans="3:19" ht="15.75" x14ac:dyDescent="0.25">
      <c r="C260" s="247">
        <v>200</v>
      </c>
      <c r="D260" s="247" t="s">
        <v>742</v>
      </c>
      <c r="H260" s="302">
        <f t="shared" ref="H260:M260" si="65">H3+H4+H5+H6+H7+H93+H122+H123+H134+H135+H136+H137+H138</f>
        <v>26568854.399999999</v>
      </c>
      <c r="I260" s="302">
        <f t="shared" si="65"/>
        <v>0</v>
      </c>
      <c r="J260" s="302">
        <f t="shared" si="65"/>
        <v>26568854.399999999</v>
      </c>
      <c r="K260" s="302">
        <f t="shared" si="65"/>
        <v>26396457.359999999</v>
      </c>
      <c r="L260" s="302">
        <f t="shared" si="65"/>
        <v>172397.03999999983</v>
      </c>
      <c r="M260" s="302">
        <f t="shared" si="65"/>
        <v>26396457.359999999</v>
      </c>
      <c r="N260" s="260"/>
      <c r="O260" s="260"/>
      <c r="P260" s="260"/>
      <c r="Q260" s="260"/>
      <c r="R260" s="260"/>
      <c r="S260" s="260"/>
    </row>
    <row r="261" spans="3:19" ht="15.75" x14ac:dyDescent="0.25">
      <c r="C261" s="247">
        <v>210</v>
      </c>
      <c r="D261" s="247">
        <v>121</v>
      </c>
      <c r="H261" s="302">
        <f t="shared" ref="H261:M261" si="66">H3+H122+H134</f>
        <v>19212977.130000003</v>
      </c>
      <c r="I261" s="302">
        <f t="shared" si="66"/>
        <v>0</v>
      </c>
      <c r="J261" s="302">
        <f t="shared" si="66"/>
        <v>19212977.130000003</v>
      </c>
      <c r="K261" s="302">
        <f t="shared" si="66"/>
        <v>19212977.130000003</v>
      </c>
      <c r="L261" s="302">
        <f t="shared" si="66"/>
        <v>0</v>
      </c>
      <c r="M261" s="302">
        <f t="shared" si="66"/>
        <v>19212977.130000003</v>
      </c>
      <c r="N261" s="260"/>
      <c r="O261" s="260"/>
      <c r="P261" s="260"/>
      <c r="Q261" s="260"/>
      <c r="R261" s="260"/>
      <c r="S261" s="260"/>
    </row>
    <row r="262" spans="3:19" ht="15.75" x14ac:dyDescent="0.25">
      <c r="C262" s="247">
        <v>220</v>
      </c>
      <c r="D262" s="247">
        <v>122</v>
      </c>
      <c r="H262" s="302">
        <f t="shared" ref="H262:M262" si="67">H5+H7+H135</f>
        <v>332158.45</v>
      </c>
      <c r="I262" s="302">
        <f t="shared" si="67"/>
        <v>0</v>
      </c>
      <c r="J262" s="302">
        <f t="shared" si="67"/>
        <v>332158.45</v>
      </c>
      <c r="K262" s="302">
        <f t="shared" si="67"/>
        <v>275295.35000000003</v>
      </c>
      <c r="L262" s="302">
        <f t="shared" si="67"/>
        <v>56863.1</v>
      </c>
      <c r="M262" s="302">
        <f t="shared" si="67"/>
        <v>275295.35000000003</v>
      </c>
      <c r="N262" s="260"/>
      <c r="O262" s="260"/>
      <c r="P262" s="260"/>
      <c r="Q262" s="260"/>
      <c r="R262" s="260"/>
      <c r="S262" s="260"/>
    </row>
    <row r="263" spans="3:19" ht="15.75" x14ac:dyDescent="0.25">
      <c r="C263" s="247">
        <v>230</v>
      </c>
      <c r="D263" s="247">
        <v>129</v>
      </c>
      <c r="H263" s="302">
        <f t="shared" ref="H263:M263" si="68">H4+H123+H136</f>
        <v>5805039.6500000004</v>
      </c>
      <c r="I263" s="302">
        <f t="shared" si="68"/>
        <v>0</v>
      </c>
      <c r="J263" s="302">
        <f t="shared" si="68"/>
        <v>5805039.6500000004</v>
      </c>
      <c r="K263" s="302">
        <f t="shared" si="68"/>
        <v>5758129.2300000004</v>
      </c>
      <c r="L263" s="302">
        <f t="shared" si="68"/>
        <v>46910.419999999925</v>
      </c>
      <c r="M263" s="302">
        <f t="shared" si="68"/>
        <v>5758129.2300000004</v>
      </c>
      <c r="N263" s="260"/>
      <c r="O263" s="260"/>
      <c r="P263" s="260"/>
      <c r="Q263" s="260"/>
      <c r="R263" s="260"/>
      <c r="S263" s="260"/>
    </row>
    <row r="264" spans="3:19" ht="15.75" x14ac:dyDescent="0.25">
      <c r="C264" s="247">
        <v>290</v>
      </c>
      <c r="D264" s="247" t="s">
        <v>743</v>
      </c>
      <c r="H264" s="302">
        <f t="shared" ref="H264:M264" si="69">H122+H123+H134+H135+H136+H137+H138</f>
        <v>7540000</v>
      </c>
      <c r="I264" s="302">
        <f t="shared" si="69"/>
        <v>0</v>
      </c>
      <c r="J264" s="302">
        <f t="shared" si="69"/>
        <v>7540000</v>
      </c>
      <c r="K264" s="302">
        <f t="shared" si="69"/>
        <v>7371878.04</v>
      </c>
      <c r="L264" s="302">
        <f t="shared" si="69"/>
        <v>168121.95999999985</v>
      </c>
      <c r="M264" s="302">
        <f t="shared" si="69"/>
        <v>7371878.04</v>
      </c>
      <c r="N264" s="260"/>
      <c r="O264" s="260"/>
      <c r="P264" s="260"/>
      <c r="Q264" s="260"/>
      <c r="R264" s="260"/>
      <c r="S264" s="260"/>
    </row>
    <row r="265" spans="3:19" ht="15.75" x14ac:dyDescent="0.25">
      <c r="C265" s="247">
        <v>291</v>
      </c>
      <c r="D265" s="247">
        <v>121</v>
      </c>
      <c r="H265" s="302">
        <f t="shared" ref="H265:M265" si="70">H122+H134</f>
        <v>4853900.08</v>
      </c>
      <c r="I265" s="302">
        <f t="shared" si="70"/>
        <v>0</v>
      </c>
      <c r="J265" s="302">
        <f t="shared" si="70"/>
        <v>4853900.08</v>
      </c>
      <c r="K265" s="302">
        <f t="shared" si="70"/>
        <v>4853900.08</v>
      </c>
      <c r="L265" s="302">
        <f t="shared" si="70"/>
        <v>0</v>
      </c>
      <c r="M265" s="302">
        <f t="shared" si="70"/>
        <v>4853900.08</v>
      </c>
      <c r="N265" s="260"/>
      <c r="O265" s="260"/>
      <c r="P265" s="260"/>
      <c r="Q265" s="260"/>
      <c r="R265" s="260"/>
      <c r="S265" s="260"/>
    </row>
    <row r="266" spans="3:19" ht="15.75" x14ac:dyDescent="0.25">
      <c r="C266" s="247">
        <v>292</v>
      </c>
      <c r="D266" s="247">
        <v>122</v>
      </c>
      <c r="H266" s="302">
        <f t="shared" ref="H266:M266" si="71">H135</f>
        <v>69850</v>
      </c>
      <c r="I266" s="302">
        <f t="shared" si="71"/>
        <v>0</v>
      </c>
      <c r="J266" s="302">
        <f t="shared" si="71"/>
        <v>69850</v>
      </c>
      <c r="K266" s="302">
        <f t="shared" si="71"/>
        <v>12986.9</v>
      </c>
      <c r="L266" s="302">
        <f t="shared" si="71"/>
        <v>56863.1</v>
      </c>
      <c r="M266" s="302">
        <f t="shared" si="71"/>
        <v>12986.9</v>
      </c>
      <c r="N266" s="260"/>
      <c r="O266" s="260"/>
      <c r="P266" s="260"/>
      <c r="Q266" s="260"/>
      <c r="R266" s="260"/>
      <c r="S266" s="260"/>
    </row>
    <row r="267" spans="3:19" ht="15.75" x14ac:dyDescent="0.25">
      <c r="C267" s="247">
        <v>293</v>
      </c>
      <c r="D267" s="247">
        <v>129</v>
      </c>
      <c r="H267" s="302">
        <f t="shared" ref="H267:M267" si="72">H123+H136</f>
        <v>1526277.8299999998</v>
      </c>
      <c r="I267" s="302">
        <f t="shared" si="72"/>
        <v>0</v>
      </c>
      <c r="J267" s="302">
        <f t="shared" si="72"/>
        <v>1526277.8299999998</v>
      </c>
      <c r="K267" s="302">
        <f t="shared" si="72"/>
        <v>1479367.41</v>
      </c>
      <c r="L267" s="302">
        <f t="shared" si="72"/>
        <v>46910.419999999925</v>
      </c>
      <c r="M267" s="302">
        <f t="shared" si="72"/>
        <v>1479367.41</v>
      </c>
      <c r="N267" s="260"/>
      <c r="O267" s="260"/>
      <c r="P267" s="260"/>
      <c r="Q267" s="260"/>
      <c r="R267" s="260"/>
      <c r="S267" s="260"/>
    </row>
    <row r="268" spans="3:19" ht="15.75" x14ac:dyDescent="0.25">
      <c r="H268" s="302"/>
      <c r="I268" s="302"/>
      <c r="J268" s="302"/>
      <c r="K268" s="302"/>
      <c r="L268" s="302"/>
      <c r="M268" s="302"/>
      <c r="N268" s="260"/>
      <c r="O268" s="260"/>
      <c r="P268" s="260"/>
      <c r="Q268" s="260"/>
      <c r="R268" s="260"/>
      <c r="S268" s="260"/>
    </row>
    <row r="269" spans="3:19" x14ac:dyDescent="0.25">
      <c r="C269" s="247">
        <v>1000</v>
      </c>
      <c r="D269" s="247" t="s">
        <v>744</v>
      </c>
      <c r="H269" s="260">
        <f t="shared" ref="H269:M269" si="73">H17+H18+H38+H39+H56+H86+H87+H90+H112+H121+H122+H123+H124+H125+H126+H127+H128+H129+H130+H131+H132+H133+H134+H135+H136+H137+H138+H120</f>
        <v>1035096865.9400001</v>
      </c>
      <c r="I269" s="260">
        <f t="shared" si="73"/>
        <v>0</v>
      </c>
      <c r="J269" s="260">
        <f t="shared" si="73"/>
        <v>1035096865.9400001</v>
      </c>
      <c r="K269" s="260">
        <f t="shared" si="73"/>
        <v>1030236783.16</v>
      </c>
      <c r="L269" s="260">
        <f t="shared" si="73"/>
        <v>4860082.7799999984</v>
      </c>
      <c r="M269" s="260">
        <f t="shared" si="73"/>
        <v>1028410666.7299999</v>
      </c>
      <c r="N269" s="260"/>
      <c r="O269" s="260"/>
      <c r="P269" s="260"/>
      <c r="Q269" s="260"/>
      <c r="R269" s="260"/>
      <c r="S269" s="260"/>
    </row>
    <row r="270" spans="3:19" ht="15.75" x14ac:dyDescent="0.25">
      <c r="H270" s="302"/>
      <c r="I270" s="260"/>
      <c r="J270" s="260"/>
      <c r="K270" s="260"/>
      <c r="L270" s="260"/>
      <c r="M270" s="302"/>
      <c r="N270" s="260"/>
      <c r="O270" s="260"/>
      <c r="P270" s="260"/>
      <c r="Q270" s="260"/>
      <c r="R270" s="260"/>
      <c r="S270" s="260"/>
    </row>
    <row r="271" spans="3:19" ht="15.75" x14ac:dyDescent="0.25">
      <c r="C271" s="247">
        <v>4110</v>
      </c>
      <c r="D271" s="247" t="s">
        <v>745</v>
      </c>
      <c r="H271" s="302">
        <f t="shared" ref="H271:M271" si="74">H64+H65+H66+H67+H68+H69+H71+H72+H73+H74+H75+H76+H77+H80+H81+H82+H83+H70+H78+H79</f>
        <v>302211314.36000001</v>
      </c>
      <c r="I271" s="302">
        <f t="shared" si="74"/>
        <v>0</v>
      </c>
      <c r="J271" s="302">
        <f t="shared" si="74"/>
        <v>302211314.36000001</v>
      </c>
      <c r="K271" s="302">
        <f t="shared" si="74"/>
        <v>291844491.14999998</v>
      </c>
      <c r="L271" s="302">
        <f t="shared" si="74"/>
        <v>10366823.210000001</v>
      </c>
      <c r="M271" s="302">
        <f t="shared" si="74"/>
        <v>291844491.14999998</v>
      </c>
      <c r="N271" s="260"/>
      <c r="O271" s="260"/>
      <c r="P271" s="260"/>
      <c r="Q271" s="260"/>
      <c r="R271" s="260"/>
      <c r="S271" s="260"/>
    </row>
    <row r="272" spans="3:19" ht="15.75" x14ac:dyDescent="0.25">
      <c r="H272" s="302"/>
      <c r="I272" s="260"/>
      <c r="J272" s="260"/>
      <c r="K272" s="260"/>
      <c r="L272" s="260"/>
      <c r="M272" s="302"/>
      <c r="N272" s="260"/>
      <c r="O272" s="260"/>
      <c r="P272" s="260"/>
      <c r="Q272" s="260"/>
      <c r="R272" s="260"/>
      <c r="S272" s="260"/>
    </row>
    <row r="273" spans="3:19" ht="15.75" x14ac:dyDescent="0.25">
      <c r="C273" s="247">
        <v>4200</v>
      </c>
      <c r="D273" s="247" t="s">
        <v>746</v>
      </c>
      <c r="H273" s="302">
        <f t="shared" ref="H273:M273" si="75">H96+H97+H98+H99+H100</f>
        <v>9586114.120000001</v>
      </c>
      <c r="I273" s="302">
        <f t="shared" si="75"/>
        <v>0</v>
      </c>
      <c r="J273" s="302">
        <f t="shared" si="75"/>
        <v>9586114.120000001</v>
      </c>
      <c r="K273" s="302">
        <f t="shared" si="75"/>
        <v>9586114.120000001</v>
      </c>
      <c r="L273" s="302">
        <f t="shared" si="75"/>
        <v>0</v>
      </c>
      <c r="M273" s="302">
        <f t="shared" si="75"/>
        <v>8393338.120000001</v>
      </c>
      <c r="N273" s="260"/>
      <c r="O273" s="260"/>
      <c r="P273" s="260"/>
      <c r="Q273" s="260"/>
      <c r="R273" s="260"/>
      <c r="S273" s="260"/>
    </row>
    <row r="274" spans="3:19" ht="15.75" x14ac:dyDescent="0.25">
      <c r="C274" s="303">
        <v>4201</v>
      </c>
      <c r="D274" s="303" t="s">
        <v>747</v>
      </c>
      <c r="E274" s="303"/>
      <c r="F274" s="303"/>
      <c r="G274" s="303"/>
      <c r="H274" s="304">
        <v>1825918.11</v>
      </c>
      <c r="I274" s="260"/>
      <c r="J274" s="260"/>
      <c r="K274" s="260"/>
      <c r="L274" s="260"/>
      <c r="M274" s="304">
        <v>1825918.11</v>
      </c>
      <c r="N274" s="260"/>
      <c r="O274" s="260"/>
      <c r="P274" s="260"/>
      <c r="Q274" s="260"/>
      <c r="R274" s="260"/>
      <c r="S274" s="260"/>
    </row>
    <row r="275" spans="3:19" ht="15.75" x14ac:dyDescent="0.25">
      <c r="H275" s="302"/>
      <c r="I275" s="260"/>
      <c r="J275" s="260"/>
      <c r="K275" s="260"/>
      <c r="L275" s="260"/>
      <c r="M275" s="302"/>
      <c r="N275" s="260"/>
      <c r="O275" s="260"/>
      <c r="P275" s="260"/>
      <c r="Q275" s="260"/>
      <c r="R275" s="260"/>
      <c r="S275" s="260"/>
    </row>
    <row r="276" spans="3:19" ht="15.75" x14ac:dyDescent="0.25">
      <c r="C276" s="247">
        <v>6100</v>
      </c>
      <c r="D276" s="247" t="s">
        <v>748</v>
      </c>
      <c r="H276" s="302">
        <f t="shared" ref="H276:M276" si="76">(H121+H124+H125+H129+H130+H131+H132+H133)+H277</f>
        <v>55817292.799999997</v>
      </c>
      <c r="I276" s="302">
        <f t="shared" si="76"/>
        <v>0</v>
      </c>
      <c r="J276" s="302">
        <f t="shared" si="76"/>
        <v>53339365.939999998</v>
      </c>
      <c r="K276" s="302">
        <f t="shared" si="76"/>
        <v>49209912.5</v>
      </c>
      <c r="L276" s="302">
        <f t="shared" si="76"/>
        <v>4129453.4399999995</v>
      </c>
      <c r="M276" s="302">
        <f t="shared" si="76"/>
        <v>51437124.510000005</v>
      </c>
      <c r="N276" s="261"/>
      <c r="O276" s="261"/>
      <c r="P276" s="260"/>
      <c r="Q276" s="260"/>
      <c r="R276" s="260"/>
      <c r="S276" s="260"/>
    </row>
    <row r="277" spans="3:19" ht="15.75" x14ac:dyDescent="0.25">
      <c r="C277" s="247">
        <v>6101</v>
      </c>
      <c r="D277" s="247" t="s">
        <v>749</v>
      </c>
      <c r="H277" s="302">
        <f>2374176.86+103750</f>
        <v>2477926.86</v>
      </c>
      <c r="I277" s="260"/>
      <c r="J277" s="260"/>
      <c r="K277" s="260"/>
      <c r="L277" s="260"/>
      <c r="M277" s="302">
        <f>2138144.2+103750</f>
        <v>2241894.2000000002</v>
      </c>
      <c r="N277" s="305" t="s">
        <v>750</v>
      </c>
      <c r="O277" s="273" t="s">
        <v>751</v>
      </c>
      <c r="P277" s="260"/>
      <c r="Q277" s="260"/>
      <c r="R277" s="260"/>
      <c r="S277" s="260"/>
    </row>
    <row r="278" spans="3:19" ht="15.75" x14ac:dyDescent="0.25">
      <c r="H278" s="302"/>
      <c r="I278" s="260"/>
      <c r="J278" s="260"/>
      <c r="K278" s="260"/>
      <c r="L278" s="260"/>
      <c r="M278" s="302"/>
      <c r="N278" s="260"/>
      <c r="O278" s="260"/>
      <c r="P278" s="260"/>
      <c r="Q278" s="260"/>
      <c r="R278" s="260"/>
      <c r="S278" s="260"/>
    </row>
    <row r="279" spans="3:19" ht="15.75" x14ac:dyDescent="0.25">
      <c r="C279" s="247">
        <v>8100</v>
      </c>
      <c r="D279" s="247" t="s">
        <v>752</v>
      </c>
      <c r="H279" s="302">
        <f t="shared" ref="H279:M279" si="77">H126+H127+H128+H129</f>
        <v>17829500</v>
      </c>
      <c r="I279" s="302">
        <f t="shared" si="77"/>
        <v>0</v>
      </c>
      <c r="J279" s="302">
        <f t="shared" si="77"/>
        <v>17829500</v>
      </c>
      <c r="K279" s="302">
        <f t="shared" si="77"/>
        <v>14597813.5</v>
      </c>
      <c r="L279" s="302">
        <f t="shared" si="77"/>
        <v>3231686.5000000009</v>
      </c>
      <c r="M279" s="302">
        <f t="shared" si="77"/>
        <v>14597118.74</v>
      </c>
      <c r="N279" s="260"/>
      <c r="O279" s="260"/>
      <c r="P279" s="260"/>
      <c r="Q279" s="260"/>
      <c r="R279" s="260"/>
      <c r="S279" s="260"/>
    </row>
    <row r="280" spans="3:19" ht="15.75" x14ac:dyDescent="0.25">
      <c r="H280" s="302"/>
      <c r="I280" s="260"/>
      <c r="J280" s="260"/>
      <c r="K280" s="260"/>
      <c r="L280" s="260"/>
      <c r="M280" s="302"/>
      <c r="N280" s="260"/>
      <c r="O280" s="260"/>
      <c r="P280" s="260"/>
      <c r="Q280" s="260"/>
      <c r="R280" s="260"/>
      <c r="S280" s="260"/>
    </row>
    <row r="281" spans="3:19" ht="15.75" x14ac:dyDescent="0.25">
      <c r="C281" s="247">
        <v>8200</v>
      </c>
      <c r="D281" s="247" t="s">
        <v>753</v>
      </c>
      <c r="H281" s="302">
        <f t="shared" ref="H281:M281" si="78">H130+H131+H133</f>
        <v>33595600</v>
      </c>
      <c r="I281" s="302">
        <f t="shared" si="78"/>
        <v>0</v>
      </c>
      <c r="J281" s="302">
        <f t="shared" si="78"/>
        <v>33595600</v>
      </c>
      <c r="K281" s="302">
        <f t="shared" si="78"/>
        <v>32923463.170000002</v>
      </c>
      <c r="L281" s="302">
        <f t="shared" si="78"/>
        <v>672136.82999999798</v>
      </c>
      <c r="M281" s="302">
        <f t="shared" si="78"/>
        <v>32923463.170000002</v>
      </c>
      <c r="N281" s="260"/>
      <c r="O281" s="260"/>
      <c r="P281" s="260"/>
      <c r="Q281" s="260"/>
      <c r="R281" s="260"/>
      <c r="S281" s="260"/>
    </row>
    <row r="282" spans="3:19" ht="15.75" x14ac:dyDescent="0.25">
      <c r="C282" s="247">
        <v>8201</v>
      </c>
      <c r="E282" s="247" t="s">
        <v>754</v>
      </c>
      <c r="H282" s="302">
        <f>10966137.88-511400+115243.95</f>
        <v>10569981.83</v>
      </c>
      <c r="I282" s="260"/>
      <c r="J282" s="260"/>
      <c r="K282" s="260"/>
      <c r="L282" s="260"/>
      <c r="M282" s="306">
        <f>700629.69+716600.87+867316.7+1175059.67+909072.1+1090268.07+780830.96+21155+8434.2+865161.43+781140.12+83570.46+906971.16+775587.5+75003.4+37593+775587.5</f>
        <v>10569981.83</v>
      </c>
      <c r="N282" s="260" t="s">
        <v>755</v>
      </c>
      <c r="O282" s="260">
        <f>H282-M282</f>
        <v>0</v>
      </c>
      <c r="P282" s="260"/>
      <c r="Q282" s="260"/>
      <c r="R282" s="260"/>
      <c r="S282" s="260"/>
    </row>
    <row r="283" spans="3:19" ht="15.75" x14ac:dyDescent="0.25">
      <c r="C283" s="247">
        <v>8202</v>
      </c>
      <c r="E283" s="247" t="s">
        <v>756</v>
      </c>
      <c r="H283" s="304">
        <f>H131</f>
        <v>15432200</v>
      </c>
      <c r="I283" s="304"/>
      <c r="J283" s="304"/>
      <c r="K283" s="304"/>
      <c r="L283" s="304"/>
      <c r="M283" s="304">
        <f>M131</f>
        <v>15114764.630000001</v>
      </c>
      <c r="N283" s="260"/>
      <c r="O283" s="260"/>
      <c r="P283" s="260"/>
      <c r="Q283" s="260"/>
      <c r="R283" s="260"/>
      <c r="S283" s="260"/>
    </row>
    <row r="284" spans="3:19" ht="15.75" x14ac:dyDescent="0.25">
      <c r="C284" s="247">
        <v>8203</v>
      </c>
      <c r="E284" s="247" t="s">
        <v>757</v>
      </c>
      <c r="H284" s="302">
        <f>9045362.12-550000-457591-329109-115243.95</f>
        <v>7593418.169999999</v>
      </c>
      <c r="I284" s="260"/>
      <c r="J284" s="260"/>
      <c r="K284" s="260"/>
      <c r="L284" s="260"/>
      <c r="M284" s="306">
        <f>516466.57+478608.1+583937.87-25484.03+690937.2+619448.35+854898.95+543474.4+503570.53+517280.44+63118.3+645340.77+486407.97+760711.29</f>
        <v>7238716.7100000009</v>
      </c>
      <c r="N284" s="260" t="s">
        <v>755</v>
      </c>
      <c r="O284" s="260"/>
      <c r="P284" s="260"/>
      <c r="Q284" s="260"/>
      <c r="R284" s="260"/>
      <c r="S284" s="260"/>
    </row>
    <row r="285" spans="3:19" ht="15.75" x14ac:dyDescent="0.25">
      <c r="H285" s="302">
        <f>H282+H283+H284-H281</f>
        <v>0</v>
      </c>
      <c r="I285" s="260">
        <f>H130+H131+H133-H281</f>
        <v>0</v>
      </c>
      <c r="J285" s="260"/>
      <c r="K285" s="260"/>
      <c r="L285" s="260"/>
      <c r="M285" s="302">
        <f>M282+M283+M284-M281</f>
        <v>0</v>
      </c>
      <c r="N285" s="260"/>
      <c r="O285" s="260"/>
      <c r="P285" s="260"/>
      <c r="Q285" s="260"/>
      <c r="R285" s="260"/>
      <c r="S285" s="260"/>
    </row>
    <row r="286" spans="3:19" ht="15.75" x14ac:dyDescent="0.25">
      <c r="C286" s="247">
        <v>8300</v>
      </c>
      <c r="D286" s="247" t="s">
        <v>758</v>
      </c>
      <c r="H286" s="302">
        <f t="shared" ref="H286:M286" si="79">H132</f>
        <v>519500</v>
      </c>
      <c r="I286" s="302">
        <f t="shared" si="79"/>
        <v>0</v>
      </c>
      <c r="J286" s="302">
        <f t="shared" si="79"/>
        <v>519500</v>
      </c>
      <c r="K286" s="302">
        <f t="shared" si="79"/>
        <v>464755.22</v>
      </c>
      <c r="L286" s="302">
        <f t="shared" si="79"/>
        <v>54744.780000000028</v>
      </c>
      <c r="M286" s="302">
        <f t="shared" si="79"/>
        <v>464755.22</v>
      </c>
      <c r="N286" s="260"/>
      <c r="O286" s="260"/>
      <c r="P286" s="260"/>
      <c r="Q286" s="260"/>
      <c r="R286" s="260"/>
      <c r="S286" s="260"/>
    </row>
    <row r="287" spans="3:19" ht="15.75" x14ac:dyDescent="0.25">
      <c r="C287" s="247">
        <v>8302</v>
      </c>
      <c r="H287" s="302">
        <f t="shared" ref="H287:M287" si="80">H132</f>
        <v>519500</v>
      </c>
      <c r="I287" s="302">
        <f t="shared" si="80"/>
        <v>0</v>
      </c>
      <c r="J287" s="302">
        <f t="shared" si="80"/>
        <v>519500</v>
      </c>
      <c r="K287" s="302">
        <f t="shared" si="80"/>
        <v>464755.22</v>
      </c>
      <c r="L287" s="302">
        <f t="shared" si="80"/>
        <v>54744.780000000028</v>
      </c>
      <c r="M287" s="302">
        <f t="shared" si="80"/>
        <v>464755.22</v>
      </c>
      <c r="N287" s="260"/>
      <c r="O287" s="260"/>
      <c r="P287" s="260"/>
      <c r="Q287" s="260"/>
      <c r="R287" s="260"/>
      <c r="S287" s="260"/>
    </row>
    <row r="288" spans="3:19" ht="15.75" x14ac:dyDescent="0.25">
      <c r="H288" s="302"/>
      <c r="I288" s="260"/>
      <c r="J288" s="260"/>
      <c r="K288" s="260"/>
      <c r="L288" s="260"/>
      <c r="M288" s="302"/>
      <c r="N288" s="260"/>
      <c r="O288" s="260"/>
      <c r="P288" s="260"/>
      <c r="Q288" s="260"/>
      <c r="R288" s="260"/>
      <c r="S288" s="260"/>
    </row>
    <row r="289" spans="2:19" x14ac:dyDescent="0.25">
      <c r="C289" s="247">
        <v>10100</v>
      </c>
      <c r="D289" s="247" t="s">
        <v>759</v>
      </c>
      <c r="H289" s="260">
        <f t="shared" ref="H289:M289" si="81">H139</f>
        <v>1943251100.4300003</v>
      </c>
      <c r="I289" s="260">
        <f t="shared" si="81"/>
        <v>0</v>
      </c>
      <c r="J289" s="260">
        <f t="shared" si="81"/>
        <v>1943251100.4300003</v>
      </c>
      <c r="K289" s="260">
        <f t="shared" si="81"/>
        <v>1922387330.3200004</v>
      </c>
      <c r="L289" s="260">
        <f t="shared" si="81"/>
        <v>20863770.110000007</v>
      </c>
      <c r="M289" s="260">
        <f t="shared" si="81"/>
        <v>1918915496.6800005</v>
      </c>
      <c r="N289" s="260"/>
      <c r="O289" s="260"/>
      <c r="P289" s="260"/>
      <c r="Q289" s="260"/>
      <c r="R289" s="260"/>
      <c r="S289" s="260"/>
    </row>
    <row r="290" spans="2:19" ht="15.75" x14ac:dyDescent="0.25">
      <c r="C290" s="247" t="s">
        <v>760</v>
      </c>
      <c r="H290" s="302">
        <f t="shared" ref="H290:M290" si="82">H41+H57+H58+H113+H114+H33+H34+H42</f>
        <v>107217195</v>
      </c>
      <c r="I290" s="302">
        <f t="shared" si="82"/>
        <v>0</v>
      </c>
      <c r="J290" s="302">
        <f t="shared" si="82"/>
        <v>107217195</v>
      </c>
      <c r="K290" s="302">
        <f t="shared" si="82"/>
        <v>102166163.59</v>
      </c>
      <c r="L290" s="302">
        <f t="shared" si="82"/>
        <v>5051031.410000002</v>
      </c>
      <c r="M290" s="302">
        <f t="shared" si="82"/>
        <v>101750633.31999999</v>
      </c>
      <c r="N290" s="260"/>
      <c r="O290" s="260"/>
      <c r="P290" s="260"/>
      <c r="Q290" s="260"/>
      <c r="R290" s="260"/>
      <c r="S290" s="260"/>
    </row>
    <row r="291" spans="2:19" x14ac:dyDescent="0.25">
      <c r="C291" s="247">
        <v>10102</v>
      </c>
      <c r="D291" s="247" t="s">
        <v>761</v>
      </c>
      <c r="H291" s="260">
        <f t="shared" ref="H291:M291" si="83">H17+H18+H38+H39+H56+H86+H87+H90+H112+H120+H121+H122+H123+H124+H125+H127+H126+H128+H129+H130+H131+H132+H133+H134+H135+H136+H137+H138</f>
        <v>1035096865.9400001</v>
      </c>
      <c r="I291" s="260">
        <f t="shared" si="83"/>
        <v>0</v>
      </c>
      <c r="J291" s="260">
        <f t="shared" si="83"/>
        <v>1035096865.9400001</v>
      </c>
      <c r="K291" s="260">
        <f t="shared" si="83"/>
        <v>1030236783.16</v>
      </c>
      <c r="L291" s="260">
        <f t="shared" si="83"/>
        <v>4860082.7799999984</v>
      </c>
      <c r="M291" s="260">
        <f t="shared" si="83"/>
        <v>1028410666.7299999</v>
      </c>
      <c r="N291" s="260"/>
      <c r="O291" s="260"/>
      <c r="P291" s="260"/>
      <c r="Q291" s="260"/>
      <c r="R291" s="260"/>
      <c r="S291" s="260"/>
    </row>
    <row r="292" spans="2:19" ht="15.75" x14ac:dyDescent="0.25">
      <c r="H292" s="302"/>
      <c r="I292" s="260"/>
      <c r="J292" s="260"/>
      <c r="K292" s="260"/>
      <c r="L292" s="260"/>
      <c r="M292" s="302"/>
      <c r="N292" s="260"/>
      <c r="O292" s="260"/>
      <c r="P292" s="260"/>
      <c r="Q292" s="260"/>
      <c r="R292" s="260"/>
      <c r="S292" s="260"/>
    </row>
    <row r="293" spans="2:19" ht="15.75" x14ac:dyDescent="0.25">
      <c r="C293" s="247">
        <v>12500</v>
      </c>
      <c r="D293" s="247" t="s">
        <v>762</v>
      </c>
      <c r="H293" s="302">
        <f t="shared" ref="H293:M293" si="84">H294+H295</f>
        <v>21811113.809999999</v>
      </c>
      <c r="I293" s="260">
        <f t="shared" si="84"/>
        <v>0</v>
      </c>
      <c r="J293" s="260">
        <f t="shared" si="84"/>
        <v>0</v>
      </c>
      <c r="K293" s="260">
        <f t="shared" si="84"/>
        <v>0</v>
      </c>
      <c r="L293" s="260">
        <f t="shared" si="84"/>
        <v>0</v>
      </c>
      <c r="M293" s="302">
        <f t="shared" si="84"/>
        <v>21228144.879999999</v>
      </c>
      <c r="N293" s="260"/>
      <c r="O293" s="260"/>
      <c r="P293" s="260"/>
      <c r="Q293" s="260"/>
      <c r="R293" s="260"/>
      <c r="S293" s="260"/>
    </row>
    <row r="294" spans="2:19" ht="15.75" x14ac:dyDescent="0.25">
      <c r="C294" s="247">
        <v>12510</v>
      </c>
      <c r="D294" s="247" t="s">
        <v>763</v>
      </c>
      <c r="H294" s="302">
        <v>392470</v>
      </c>
      <c r="I294" s="260"/>
      <c r="J294" s="260"/>
      <c r="K294" s="260"/>
      <c r="L294" s="260"/>
      <c r="M294" s="302">
        <f>161250+231220</f>
        <v>392470</v>
      </c>
      <c r="N294" s="260" t="s">
        <v>764</v>
      </c>
      <c r="O294" s="260"/>
      <c r="P294" s="260"/>
      <c r="Q294" s="260"/>
      <c r="R294" s="260"/>
      <c r="S294" s="260"/>
    </row>
    <row r="295" spans="2:19" ht="15.75" x14ac:dyDescent="0.25">
      <c r="B295" s="301"/>
      <c r="C295" s="247">
        <v>12530</v>
      </c>
      <c r="D295" s="247">
        <v>310</v>
      </c>
      <c r="H295" s="302">
        <v>21418643.809999999</v>
      </c>
      <c r="I295" s="260"/>
      <c r="J295" s="260"/>
      <c r="K295" s="260"/>
      <c r="L295" s="260"/>
      <c r="M295" s="302">
        <v>20835674.879999999</v>
      </c>
      <c r="N295" s="307" t="s">
        <v>750</v>
      </c>
      <c r="O295" s="260"/>
      <c r="P295" s="260"/>
      <c r="Q295" s="260"/>
      <c r="R295" s="260"/>
      <c r="S295" s="260"/>
    </row>
    <row r="296" spans="2:19" ht="15.75" x14ac:dyDescent="0.25">
      <c r="H296" s="302"/>
      <c r="I296" s="260"/>
      <c r="J296" s="260"/>
      <c r="K296" s="260"/>
      <c r="L296" s="260"/>
      <c r="M296" s="302"/>
      <c r="N296" s="260"/>
      <c r="O296" s="260"/>
      <c r="P296" s="260"/>
      <c r="Q296" s="260"/>
      <c r="R296" s="260"/>
      <c r="S296" s="260"/>
    </row>
    <row r="297" spans="2:19" ht="15.75" x14ac:dyDescent="0.25">
      <c r="C297" s="247">
        <v>12600</v>
      </c>
      <c r="D297" s="247" t="s">
        <v>765</v>
      </c>
      <c r="H297" s="302">
        <f t="shared" ref="H297:M297" si="85">H298</f>
        <v>62244234.229999997</v>
      </c>
      <c r="I297" s="260">
        <f t="shared" si="85"/>
        <v>0</v>
      </c>
      <c r="J297" s="260">
        <f t="shared" si="85"/>
        <v>61864234.229999997</v>
      </c>
      <c r="K297" s="260">
        <f t="shared" si="85"/>
        <v>51326417.050000004</v>
      </c>
      <c r="L297" s="260">
        <f t="shared" si="85"/>
        <v>10537817.180000002</v>
      </c>
      <c r="M297" s="302">
        <f t="shared" si="85"/>
        <v>51067917.050000004</v>
      </c>
      <c r="N297" s="260"/>
      <c r="O297" s="260"/>
      <c r="P297" s="260"/>
      <c r="Q297" s="260"/>
      <c r="R297" s="260"/>
      <c r="S297" s="260"/>
    </row>
    <row r="298" spans="2:19" ht="37.5" customHeight="1" x14ac:dyDescent="0.25">
      <c r="C298" s="247">
        <v>12630</v>
      </c>
      <c r="D298" s="280" t="s">
        <v>766</v>
      </c>
      <c r="H298" s="302">
        <f>H80+H81+H41+H42+H25+H24+H82+H83+H79+380000</f>
        <v>62244234.229999997</v>
      </c>
      <c r="I298" s="302">
        <f>I80+I81+I41+I42+I25+I24+I82+I83+I79</f>
        <v>0</v>
      </c>
      <c r="J298" s="302">
        <f>J80+J81+J41+J42+J25+J24+J82+J83+J79</f>
        <v>61864234.229999997</v>
      </c>
      <c r="K298" s="302">
        <f>K80+K81+K41+K42+K25+K24+K82+K83+K79</f>
        <v>51326417.050000004</v>
      </c>
      <c r="L298" s="302">
        <f>L80+L81+L41+L42+L25+L24+L82+L83+L79</f>
        <v>10537817.180000002</v>
      </c>
      <c r="M298" s="302">
        <f>M80+M81+M41+M42+M25+M24+M82+M83+M79+380000-380000-258500</f>
        <v>51067917.050000004</v>
      </c>
      <c r="N298" s="546" t="s">
        <v>767</v>
      </c>
      <c r="O298" s="546"/>
      <c r="P298" s="260"/>
      <c r="Q298" s="260"/>
      <c r="R298" s="260"/>
      <c r="S298" s="260"/>
    </row>
    <row r="299" spans="2:19" ht="16.5" customHeight="1" x14ac:dyDescent="0.25">
      <c r="D299" s="280"/>
      <c r="H299" s="302">
        <f>62244234.23-H298</f>
        <v>0</v>
      </c>
      <c r="I299" s="302"/>
      <c r="J299" s="302"/>
      <c r="K299" s="302"/>
      <c r="L299" s="302"/>
      <c r="M299" s="302"/>
      <c r="N299" s="308"/>
      <c r="O299" s="260"/>
      <c r="P299" s="260"/>
      <c r="Q299" s="260"/>
      <c r="R299" s="260"/>
      <c r="S299" s="260"/>
    </row>
    <row r="300" spans="2:19" ht="16.5" customHeight="1" x14ac:dyDescent="0.25">
      <c r="C300" s="547" t="s">
        <v>768</v>
      </c>
      <c r="D300" s="547"/>
      <c r="H300" s="302">
        <f t="shared" ref="H300:M300" si="86">H41+H42</f>
        <v>31716570</v>
      </c>
      <c r="I300" s="302">
        <f t="shared" si="86"/>
        <v>0</v>
      </c>
      <c r="J300" s="302">
        <f t="shared" si="86"/>
        <v>31716570</v>
      </c>
      <c r="K300" s="302">
        <f t="shared" si="86"/>
        <v>31517177.049999997</v>
      </c>
      <c r="L300" s="302">
        <f t="shared" si="86"/>
        <v>199392.95000000112</v>
      </c>
      <c r="M300" s="302">
        <f t="shared" si="86"/>
        <v>31517177.049999997</v>
      </c>
      <c r="N300" s="308"/>
      <c r="O300" s="260"/>
      <c r="P300" s="260"/>
      <c r="Q300" s="260"/>
      <c r="R300" s="260"/>
      <c r="S300" s="260"/>
    </row>
    <row r="301" spans="2:19" ht="15.75" x14ac:dyDescent="0.25">
      <c r="D301" s="280"/>
      <c r="H301" s="302"/>
      <c r="I301" s="260"/>
      <c r="J301" s="260"/>
      <c r="K301" s="260"/>
      <c r="L301" s="260"/>
      <c r="M301" s="302"/>
      <c r="N301" s="260"/>
      <c r="O301" s="260"/>
      <c r="P301" s="260"/>
      <c r="Q301" s="260"/>
      <c r="R301" s="260"/>
      <c r="S301" s="260"/>
    </row>
    <row r="302" spans="2:19" x14ac:dyDescent="0.25">
      <c r="C302" s="247">
        <v>13000</v>
      </c>
      <c r="D302" s="247">
        <v>111</v>
      </c>
      <c r="H302" s="309">
        <f t="shared" ref="H302:M302" si="87">H304</f>
        <v>1093954069.02</v>
      </c>
      <c r="I302" s="309">
        <f t="shared" si="87"/>
        <v>0</v>
      </c>
      <c r="J302" s="309">
        <f t="shared" si="87"/>
        <v>0</v>
      </c>
      <c r="K302" s="309">
        <f t="shared" si="87"/>
        <v>0</v>
      </c>
      <c r="L302" s="309">
        <f t="shared" si="87"/>
        <v>0</v>
      </c>
      <c r="M302" s="309">
        <f t="shared" si="87"/>
        <v>1083800973.8</v>
      </c>
      <c r="N302" s="260"/>
      <c r="O302" s="260"/>
      <c r="P302" s="260"/>
      <c r="Q302" s="260"/>
      <c r="R302" s="260"/>
      <c r="S302" s="260"/>
    </row>
    <row r="303" spans="2:19" x14ac:dyDescent="0.25">
      <c r="C303" s="247">
        <v>13100</v>
      </c>
      <c r="D303" s="247">
        <v>111</v>
      </c>
      <c r="G303" s="260"/>
      <c r="H303" s="309">
        <f t="shared" ref="H303:M303" si="88">H304</f>
        <v>1093954069.02</v>
      </c>
      <c r="I303" s="309">
        <f t="shared" si="88"/>
        <v>0</v>
      </c>
      <c r="J303" s="309">
        <f t="shared" si="88"/>
        <v>0</v>
      </c>
      <c r="K303" s="309">
        <f t="shared" si="88"/>
        <v>0</v>
      </c>
      <c r="L303" s="309">
        <f t="shared" si="88"/>
        <v>0</v>
      </c>
      <c r="M303" s="309">
        <f t="shared" si="88"/>
        <v>1083800973.8</v>
      </c>
      <c r="N303" s="260"/>
      <c r="O303" s="260"/>
      <c r="P303" s="260"/>
      <c r="Q303" s="260"/>
      <c r="R303" s="260"/>
      <c r="S303" s="260"/>
    </row>
    <row r="304" spans="2:19" x14ac:dyDescent="0.25">
      <c r="C304" s="247">
        <v>13101</v>
      </c>
      <c r="D304" s="247">
        <v>111</v>
      </c>
      <c r="H304" s="309">
        <v>1093954069.02</v>
      </c>
      <c r="I304" s="309"/>
      <c r="J304" s="309"/>
      <c r="K304" s="309"/>
      <c r="L304" s="309"/>
      <c r="M304" s="309">
        <v>1083800973.8</v>
      </c>
      <c r="N304" s="260" t="s">
        <v>750</v>
      </c>
      <c r="O304" s="260"/>
      <c r="P304" s="260"/>
      <c r="Q304" s="260"/>
      <c r="R304" s="260"/>
      <c r="S304" s="260"/>
    </row>
    <row r="305" spans="3:19" x14ac:dyDescent="0.25">
      <c r="H305" s="310"/>
      <c r="I305" s="309"/>
      <c r="J305" s="309"/>
      <c r="K305" s="309"/>
      <c r="L305" s="309"/>
      <c r="M305" s="310"/>
      <c r="N305" s="260"/>
      <c r="O305" s="260"/>
      <c r="P305" s="260"/>
      <c r="Q305" s="260"/>
      <c r="R305" s="260"/>
      <c r="S305" s="260"/>
    </row>
    <row r="306" spans="3:19" x14ac:dyDescent="0.25">
      <c r="C306" s="247">
        <v>14000</v>
      </c>
      <c r="D306" s="247">
        <v>119</v>
      </c>
      <c r="H306" s="309">
        <f t="shared" ref="H306:M306" si="89">H308</f>
        <v>328006666.36000001</v>
      </c>
      <c r="I306" s="309">
        <f t="shared" si="89"/>
        <v>0</v>
      </c>
      <c r="J306" s="309">
        <f t="shared" si="89"/>
        <v>0</v>
      </c>
      <c r="K306" s="309">
        <f t="shared" si="89"/>
        <v>0</v>
      </c>
      <c r="L306" s="309">
        <f t="shared" si="89"/>
        <v>0</v>
      </c>
      <c r="M306" s="309">
        <f t="shared" si="89"/>
        <v>324217153.01999998</v>
      </c>
      <c r="N306" s="260"/>
      <c r="O306" s="260"/>
      <c r="P306" s="260"/>
      <c r="Q306" s="260"/>
      <c r="R306" s="260"/>
      <c r="S306" s="260"/>
    </row>
    <row r="307" spans="3:19" x14ac:dyDescent="0.25">
      <c r="C307" s="247">
        <v>14100</v>
      </c>
      <c r="D307" s="247">
        <v>119</v>
      </c>
      <c r="H307" s="309">
        <f t="shared" ref="H307:M307" si="90">H308</f>
        <v>328006666.36000001</v>
      </c>
      <c r="I307" s="309">
        <f t="shared" si="90"/>
        <v>0</v>
      </c>
      <c r="J307" s="309">
        <f t="shared" si="90"/>
        <v>0</v>
      </c>
      <c r="K307" s="309">
        <f t="shared" si="90"/>
        <v>0</v>
      </c>
      <c r="L307" s="309">
        <f t="shared" si="90"/>
        <v>0</v>
      </c>
      <c r="M307" s="309">
        <f t="shared" si="90"/>
        <v>324217153.01999998</v>
      </c>
      <c r="N307" s="260"/>
      <c r="O307" s="260"/>
      <c r="P307" s="260"/>
      <c r="Q307" s="260"/>
      <c r="R307" s="260"/>
      <c r="S307" s="260"/>
    </row>
    <row r="308" spans="3:19" ht="15.75" x14ac:dyDescent="0.25">
      <c r="C308" s="247">
        <v>14101</v>
      </c>
      <c r="D308" s="247">
        <v>119</v>
      </c>
      <c r="G308" s="260"/>
      <c r="H308" s="302">
        <v>328006666.36000001</v>
      </c>
      <c r="I308" s="260"/>
      <c r="J308" s="260"/>
      <c r="K308" s="260"/>
      <c r="L308" s="260"/>
      <c r="M308" s="302">
        <v>324217153.01999998</v>
      </c>
      <c r="N308" s="311">
        <f>M304+M308</f>
        <v>1408018126.8199999</v>
      </c>
      <c r="O308" s="260"/>
      <c r="P308" s="260"/>
      <c r="Q308" s="260"/>
      <c r="R308" s="260"/>
      <c r="S308" s="260"/>
    </row>
    <row r="309" spans="3:19" ht="15.75" x14ac:dyDescent="0.25">
      <c r="E309" s="312"/>
      <c r="H309" s="302"/>
      <c r="I309" s="260"/>
      <c r="J309" s="260"/>
      <c r="K309" s="260"/>
      <c r="L309" s="260"/>
      <c r="M309" s="302"/>
      <c r="N309" s="260" t="s">
        <v>769</v>
      </c>
      <c r="O309" s="260"/>
      <c r="P309" s="260"/>
      <c r="Q309" s="260"/>
      <c r="R309" s="260"/>
      <c r="S309" s="260"/>
    </row>
    <row r="310" spans="3:19" ht="15.75" x14ac:dyDescent="0.25">
      <c r="H310" s="313"/>
      <c r="M310" s="313"/>
    </row>
    <row r="311" spans="3:19" ht="15.75" x14ac:dyDescent="0.25">
      <c r="C311" s="247" t="s">
        <v>770</v>
      </c>
      <c r="D311" s="247">
        <v>387</v>
      </c>
      <c r="H311" s="313"/>
      <c r="M311" s="313"/>
    </row>
    <row r="312" spans="3:19" ht="15.75" x14ac:dyDescent="0.25">
      <c r="H312" s="302"/>
      <c r="I312" s="260"/>
      <c r="J312" s="260"/>
      <c r="K312" s="260"/>
      <c r="L312" s="260"/>
      <c r="M312" s="302"/>
    </row>
    <row r="313" spans="3:19" ht="15.75" x14ac:dyDescent="0.25">
      <c r="C313" s="247">
        <v>22500</v>
      </c>
      <c r="D313" s="247">
        <v>310</v>
      </c>
      <c r="E313" s="247" t="s">
        <v>771</v>
      </c>
      <c r="H313" s="302">
        <v>25623724.84</v>
      </c>
      <c r="I313" s="260"/>
      <c r="J313" s="260"/>
      <c r="K313" s="260"/>
      <c r="L313" s="260"/>
      <c r="M313" s="302">
        <v>24892738.949999999</v>
      </c>
    </row>
    <row r="314" spans="3:19" ht="15.75" x14ac:dyDescent="0.25">
      <c r="H314" s="302"/>
      <c r="I314" s="260"/>
      <c r="J314" s="260"/>
      <c r="K314" s="260"/>
      <c r="L314" s="260"/>
      <c r="M314" s="302"/>
    </row>
    <row r="315" spans="3:19" ht="15.75" x14ac:dyDescent="0.25">
      <c r="C315" s="247">
        <v>22600</v>
      </c>
      <c r="D315" s="247">
        <v>243</v>
      </c>
      <c r="H315" s="302">
        <v>62244234.229999997</v>
      </c>
      <c r="I315" s="260"/>
      <c r="J315" s="260"/>
      <c r="K315" s="260"/>
      <c r="L315" s="260"/>
      <c r="M315" s="302">
        <v>51067917.049999997</v>
      </c>
    </row>
    <row r="316" spans="3:19" ht="15.75" x14ac:dyDescent="0.25">
      <c r="D316" s="247" t="s">
        <v>34</v>
      </c>
      <c r="H316" s="302">
        <f>H300</f>
        <v>31716570</v>
      </c>
      <c r="I316" s="260"/>
      <c r="J316" s="260"/>
      <c r="K316" s="260"/>
      <c r="L316" s="260"/>
      <c r="M316" s="302">
        <f>M300</f>
        <v>31517177.049999997</v>
      </c>
    </row>
    <row r="317" spans="3:19" ht="15.75" x14ac:dyDescent="0.25">
      <c r="H317" s="302"/>
      <c r="I317" s="260"/>
      <c r="J317" s="260"/>
      <c r="K317" s="260"/>
      <c r="L317" s="260"/>
      <c r="M317" s="302"/>
    </row>
    <row r="318" spans="3:19" ht="15.75" x14ac:dyDescent="0.25">
      <c r="C318" s="247">
        <v>23100</v>
      </c>
      <c r="H318" s="302">
        <f t="shared" ref="H318:M318" si="91">H319</f>
        <v>1104181827.8</v>
      </c>
      <c r="I318" s="260">
        <f t="shared" si="91"/>
        <v>0</v>
      </c>
      <c r="J318" s="260">
        <f t="shared" si="91"/>
        <v>0</v>
      </c>
      <c r="K318" s="260">
        <f t="shared" si="91"/>
        <v>0</v>
      </c>
      <c r="L318" s="260">
        <f t="shared" si="91"/>
        <v>0</v>
      </c>
      <c r="M318" s="260">
        <f t="shared" si="91"/>
        <v>1093544208.28</v>
      </c>
    </row>
    <row r="319" spans="3:19" ht="15.75" x14ac:dyDescent="0.25">
      <c r="C319" s="247">
        <v>23101</v>
      </c>
      <c r="D319" s="247">
        <v>111</v>
      </c>
      <c r="H319" s="302">
        <v>1104181827.8</v>
      </c>
      <c r="I319" s="260"/>
      <c r="J319" s="260"/>
      <c r="K319" s="260"/>
      <c r="L319" s="260"/>
      <c r="M319" s="260">
        <v>1093544208.28</v>
      </c>
    </row>
    <row r="320" spans="3:19" ht="15.75" x14ac:dyDescent="0.25">
      <c r="C320" s="247">
        <v>24100</v>
      </c>
      <c r="H320" s="302">
        <f t="shared" ref="H320:M320" si="92">H321</f>
        <v>331008295.42000002</v>
      </c>
      <c r="I320" s="260">
        <f t="shared" si="92"/>
        <v>0</v>
      </c>
      <c r="J320" s="260">
        <f t="shared" si="92"/>
        <v>0</v>
      </c>
      <c r="K320" s="260">
        <f t="shared" si="92"/>
        <v>0</v>
      </c>
      <c r="L320" s="260">
        <f t="shared" si="92"/>
        <v>0</v>
      </c>
      <c r="M320" s="302">
        <f t="shared" si="92"/>
        <v>327069191.14999998</v>
      </c>
    </row>
    <row r="321" spans="3:15" ht="15.75" x14ac:dyDescent="0.25">
      <c r="C321" s="247">
        <v>24101</v>
      </c>
      <c r="D321" s="247">
        <v>119</v>
      </c>
      <c r="H321" s="302">
        <v>331008295.42000002</v>
      </c>
      <c r="I321" s="260"/>
      <c r="J321" s="260"/>
      <c r="K321" s="260"/>
      <c r="L321" s="260"/>
      <c r="M321" s="302">
        <v>327069191.14999998</v>
      </c>
    </row>
    <row r="322" spans="3:15" x14ac:dyDescent="0.25">
      <c r="H322" s="260"/>
      <c r="I322" s="260"/>
      <c r="J322" s="260"/>
      <c r="K322" s="260"/>
      <c r="L322" s="260"/>
      <c r="M322" s="260"/>
    </row>
    <row r="323" spans="3:15" x14ac:dyDescent="0.25">
      <c r="H323" s="260"/>
      <c r="I323" s="260"/>
      <c r="J323" s="260"/>
      <c r="K323" s="260"/>
      <c r="L323" s="260"/>
      <c r="M323" s="260"/>
    </row>
    <row r="324" spans="3:15" x14ac:dyDescent="0.25">
      <c r="E324" s="260"/>
      <c r="F324" s="260"/>
      <c r="G324" s="260"/>
      <c r="H324" s="260"/>
      <c r="I324" s="260"/>
      <c r="J324" s="260"/>
      <c r="K324" s="260"/>
      <c r="L324" s="260"/>
      <c r="M324" s="260"/>
      <c r="N324" s="260"/>
      <c r="O324" s="260"/>
    </row>
    <row r="325" spans="3:15" x14ac:dyDescent="0.25">
      <c r="C325" s="247" t="s">
        <v>772</v>
      </c>
      <c r="E325" s="260"/>
      <c r="F325" s="260"/>
      <c r="G325" s="260"/>
      <c r="H325" s="260">
        <f>H9+H10+H11+H12+H13+H14+H19+H20+H21+H22+H23+H24+H25+H84+H85</f>
        <v>263698860.93000004</v>
      </c>
      <c r="I325" s="260"/>
      <c r="J325" s="260"/>
      <c r="K325" s="260"/>
      <c r="L325" s="260"/>
      <c r="M325" s="260"/>
      <c r="N325" s="260"/>
      <c r="O325" s="260"/>
    </row>
    <row r="326" spans="3:15" x14ac:dyDescent="0.25">
      <c r="C326" s="247" t="s">
        <v>773</v>
      </c>
      <c r="E326" s="260"/>
      <c r="F326" s="260"/>
      <c r="G326" s="260"/>
      <c r="H326" s="260">
        <f>H27+H28+H29+H30+H31+H32+H40+H43+H44+H45+H46+H49+H50+H51+H59+H60+H61+H62+H63+H88+H89</f>
        <v>118101222.42000003</v>
      </c>
      <c r="I326" s="260"/>
      <c r="J326" s="260"/>
      <c r="K326" s="260"/>
      <c r="L326" s="260"/>
      <c r="M326" s="260"/>
      <c r="N326" s="260"/>
      <c r="O326" s="260"/>
    </row>
    <row r="327" spans="3:15" x14ac:dyDescent="0.25">
      <c r="C327" s="247" t="s">
        <v>4</v>
      </c>
      <c r="E327" s="260"/>
      <c r="F327" s="260"/>
      <c r="G327" s="260"/>
      <c r="H327" s="260">
        <f>H3+H4+H5+H6+H7+H8+H93</f>
        <v>19824785.369999997</v>
      </c>
      <c r="I327" s="260"/>
      <c r="J327" s="260"/>
      <c r="K327" s="260"/>
      <c r="L327" s="260"/>
      <c r="M327" s="260"/>
      <c r="N327" s="260"/>
      <c r="O327" s="260"/>
    </row>
    <row r="328" spans="3:15" x14ac:dyDescent="0.25">
      <c r="C328" s="280" t="s">
        <v>774</v>
      </c>
      <c r="E328" s="260"/>
      <c r="F328" s="260"/>
      <c r="G328" s="260"/>
      <c r="H328" s="260">
        <f>H64+H65+H66+H67+H68+H69+H71+H74+H75+H76+H77+H81+H83+H91+H92</f>
        <v>247125773.15000004</v>
      </c>
      <c r="I328" s="260"/>
      <c r="J328" s="260"/>
      <c r="K328" s="260"/>
      <c r="L328" s="260"/>
      <c r="M328" s="260"/>
      <c r="N328" s="260"/>
      <c r="O328" s="260"/>
    </row>
    <row r="329" spans="3:15" x14ac:dyDescent="0.25">
      <c r="C329" s="280" t="s">
        <v>775</v>
      </c>
      <c r="E329" s="260"/>
      <c r="F329" s="260"/>
      <c r="G329" s="260"/>
      <c r="H329" s="260">
        <f>H101+H102+H104+H105+H106+H107+H108+H115+H116+H117+H118+H119+H94</f>
        <v>54723500.289999999</v>
      </c>
      <c r="I329" s="260"/>
      <c r="J329" s="260"/>
      <c r="K329" s="260"/>
      <c r="L329" s="260"/>
      <c r="M329" s="260"/>
      <c r="N329" s="260"/>
      <c r="O329" s="260"/>
    </row>
    <row r="330" spans="3:15" x14ac:dyDescent="0.25">
      <c r="C330" s="280" t="s">
        <v>776</v>
      </c>
      <c r="E330" s="260"/>
      <c r="F330" s="260"/>
      <c r="G330" s="260"/>
      <c r="H330" s="260">
        <f>H96+H99+H100+H95</f>
        <v>6329714.1200000001</v>
      </c>
      <c r="I330" s="260"/>
      <c r="J330" s="260"/>
      <c r="K330" s="260"/>
      <c r="L330" s="260"/>
      <c r="M330" s="260"/>
      <c r="N330" s="260"/>
      <c r="O330" s="260"/>
    </row>
    <row r="332" spans="3:15" x14ac:dyDescent="0.25">
      <c r="H332" s="260">
        <f>H325+H326+H327+H328+H329+H330</f>
        <v>709803856.28000009</v>
      </c>
    </row>
    <row r="333" spans="3:15" x14ac:dyDescent="0.25">
      <c r="H333" s="260">
        <f>H143-H332</f>
        <v>1939195.9900000095</v>
      </c>
    </row>
    <row r="336" spans="3:15" x14ac:dyDescent="0.25">
      <c r="C336" s="260" t="s">
        <v>777</v>
      </c>
      <c r="D336" s="247" t="s">
        <v>30</v>
      </c>
      <c r="H336" s="260">
        <f>H27+H28+H29+H30+H31+H32+H40+H43+H44+H45+H46+H49+H50+H51+H52+H59+H60+H61+H62+H63+H88+H89</f>
        <v>118812958.41000003</v>
      </c>
      <c r="I336" s="260">
        <f>H336+21622.15+5312.43</f>
        <v>118839892.99000004</v>
      </c>
      <c r="J336" s="260">
        <v>118839892.99000001</v>
      </c>
      <c r="K336" s="260"/>
      <c r="L336" s="260"/>
    </row>
    <row r="337" spans="3:12" x14ac:dyDescent="0.25">
      <c r="C337" s="260"/>
      <c r="D337" s="247" t="s">
        <v>32</v>
      </c>
      <c r="J337" s="260"/>
      <c r="K337" s="260"/>
      <c r="L337" s="260"/>
    </row>
    <row r="338" spans="3:12" x14ac:dyDescent="0.25">
      <c r="C338" s="260"/>
      <c r="J338" s="260"/>
      <c r="K338" s="260"/>
      <c r="L338" s="260"/>
    </row>
    <row r="339" spans="3:12" x14ac:dyDescent="0.25">
      <c r="C339" s="247" t="s">
        <v>778</v>
      </c>
      <c r="D339" s="247" t="s">
        <v>30</v>
      </c>
      <c r="H339" s="260">
        <f>H64+H65+H66+H67+H68+H69+H70+H74+H75+H76+H77+H78+H79+H81+H83+H91+H92</f>
        <v>235310895.75</v>
      </c>
      <c r="I339" s="260">
        <f>H339+O219</f>
        <v>235319470.55000001</v>
      </c>
      <c r="J339" s="260"/>
      <c r="K339" s="260"/>
      <c r="L339" s="260"/>
    </row>
    <row r="340" spans="3:12" x14ac:dyDescent="0.25">
      <c r="D340" s="247" t="s">
        <v>32</v>
      </c>
      <c r="J340" s="260"/>
      <c r="K340" s="260"/>
      <c r="L340" s="260"/>
    </row>
    <row r="341" spans="3:12" x14ac:dyDescent="0.25">
      <c r="J341" s="260"/>
      <c r="K341" s="260"/>
      <c r="L341" s="260"/>
    </row>
    <row r="342" spans="3:12" x14ac:dyDescent="0.25">
      <c r="C342" s="247" t="s">
        <v>779</v>
      </c>
      <c r="D342" s="247" t="s">
        <v>30</v>
      </c>
      <c r="H342" s="260">
        <f>H9+H10+H11+H12+H13+H14+H19+H20+H21+H22+H23+H24+H25+H84+H85</f>
        <v>263698860.93000004</v>
      </c>
      <c r="I342" s="260">
        <f>H342+0.01+P219</f>
        <v>263750653.59000003</v>
      </c>
      <c r="J342" s="260">
        <v>263750653.59</v>
      </c>
      <c r="K342" s="260"/>
      <c r="L342" s="260"/>
    </row>
    <row r="343" spans="3:12" x14ac:dyDescent="0.25">
      <c r="D343" s="247" t="s">
        <v>32</v>
      </c>
      <c r="J343" s="260">
        <f>I342-J342</f>
        <v>0</v>
      </c>
    </row>
    <row r="344" spans="3:12" x14ac:dyDescent="0.25">
      <c r="J344" s="260"/>
      <c r="K344" s="260"/>
      <c r="L344" s="260"/>
    </row>
    <row r="345" spans="3:12" x14ac:dyDescent="0.25">
      <c r="C345" s="247" t="s">
        <v>780</v>
      </c>
      <c r="D345" s="247" t="s">
        <v>30</v>
      </c>
      <c r="H345" s="260">
        <f>H10+H12+H14+H20+H22+H25+H85</f>
        <v>65565069.900000006</v>
      </c>
      <c r="J345" s="260">
        <v>65565069.899999999</v>
      </c>
      <c r="K345" s="260"/>
      <c r="L345" s="260"/>
    </row>
    <row r="346" spans="3:12" x14ac:dyDescent="0.25">
      <c r="D346" s="247" t="s">
        <v>32</v>
      </c>
      <c r="J346" s="260"/>
      <c r="K346" s="260"/>
      <c r="L346" s="260"/>
    </row>
    <row r="347" spans="3:12" x14ac:dyDescent="0.25">
      <c r="J347" s="260"/>
      <c r="K347" s="260"/>
      <c r="L347" s="260"/>
    </row>
    <row r="348" spans="3:12" x14ac:dyDescent="0.25">
      <c r="C348" s="247" t="s">
        <v>781</v>
      </c>
      <c r="D348" s="247" t="s">
        <v>30</v>
      </c>
      <c r="H348" s="260">
        <f>H9+H11+H13+H19+H21+H23+H24+H84</f>
        <v>198133791.03000003</v>
      </c>
      <c r="I348" s="260">
        <f>H348+0.01+P219</f>
        <v>198185583.69000003</v>
      </c>
      <c r="J348" s="260">
        <v>198185583.69</v>
      </c>
      <c r="K348" s="260">
        <f>I348-J348</f>
        <v>0</v>
      </c>
    </row>
    <row r="349" spans="3:12" x14ac:dyDescent="0.25">
      <c r="D349" s="247" t="s">
        <v>32</v>
      </c>
      <c r="J349" s="260"/>
      <c r="K349" s="260"/>
    </row>
    <row r="350" spans="3:12" x14ac:dyDescent="0.25">
      <c r="J350" s="260"/>
      <c r="K350" s="260"/>
    </row>
    <row r="351" spans="3:12" x14ac:dyDescent="0.25">
      <c r="H351" s="260"/>
      <c r="J351" s="260"/>
      <c r="K351" s="260"/>
    </row>
    <row r="352" spans="3:12" x14ac:dyDescent="0.25">
      <c r="H352" s="260"/>
      <c r="J352" s="260"/>
      <c r="K352" s="260"/>
    </row>
    <row r="353" spans="8:11" x14ac:dyDescent="0.25">
      <c r="H353" s="260"/>
      <c r="I353" s="260"/>
      <c r="J353" s="260"/>
      <c r="K353" s="260"/>
    </row>
  </sheetData>
  <sheetProtection formatCells="0" formatColumns="0" formatRows="0" insertColumns="0" insertRows="0" insertHyperlinks="0" deleteColumns="0" deleteRows="0" sort="0" autoFilter="0" pivotTables="0"/>
  <autoFilter ref="A2:AJ143"/>
  <mergeCells count="4">
    <mergeCell ref="A1:F1"/>
    <mergeCell ref="I212:J212"/>
    <mergeCell ref="N298:O298"/>
    <mergeCell ref="C300:D300"/>
  </mergeCells>
  <pageMargins left="0.70866141732283472" right="0.70866141732283472" top="0.74803149606299213" bottom="0.74803149606299213" header="0.31496062992125984" footer="0.31496062992125984"/>
  <pageSetup paperSize="9" scale="45" fitToHeight="0" orientation="portrait" errors="blank"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2"/>
  <sheetViews>
    <sheetView showGridLines="0" zoomScaleNormal="100" zoomScaleSheetLayoutView="100" workbookViewId="0">
      <pane ySplit="7" topLeftCell="A8" activePane="bottomLeft" state="frozen"/>
      <selection activeCell="N13" sqref="N13"/>
      <selection pane="bottomLeft" activeCell="N13" sqref="N13"/>
    </sheetView>
  </sheetViews>
  <sheetFormatPr defaultRowHeight="15" outlineLevelRow="3" x14ac:dyDescent="0.25"/>
  <cols>
    <col min="1" max="1" width="40" style="320" customWidth="1"/>
    <col min="2" max="2" width="15.85546875" style="320" customWidth="1"/>
    <col min="3" max="3" width="14.7109375" style="320" customWidth="1"/>
    <col min="4" max="6" width="18.85546875" style="320" customWidth="1"/>
    <col min="7" max="7" width="11.7109375" style="320" customWidth="1"/>
    <col min="8" max="9" width="14.7109375" style="320" customWidth="1"/>
    <col min="10" max="11" width="11.7109375" style="320" customWidth="1"/>
    <col min="12" max="12" width="9.140625" style="320" customWidth="1"/>
    <col min="13" max="16384" width="9.140625" style="320"/>
  </cols>
  <sheetData>
    <row r="1" spans="1:15" x14ac:dyDescent="0.25">
      <c r="A1" s="554"/>
      <c r="B1" s="555"/>
      <c r="C1" s="555"/>
      <c r="D1" s="319"/>
      <c r="E1" s="319"/>
      <c r="F1" s="319"/>
      <c r="G1" s="319"/>
      <c r="H1" s="319"/>
      <c r="I1" s="319"/>
      <c r="J1" s="319"/>
      <c r="K1" s="319"/>
      <c r="L1" s="319"/>
    </row>
    <row r="2" spans="1:15" ht="15.2" customHeight="1" x14ac:dyDescent="0.25">
      <c r="A2" s="554" t="s">
        <v>185</v>
      </c>
      <c r="B2" s="555"/>
      <c r="C2" s="555"/>
      <c r="D2" s="319"/>
      <c r="E2" s="319"/>
      <c r="F2" s="319"/>
      <c r="G2" s="319"/>
      <c r="H2" s="319"/>
      <c r="I2" s="319"/>
      <c r="J2" s="319"/>
      <c r="K2" s="319"/>
      <c r="L2" s="319"/>
    </row>
    <row r="3" spans="1:15" ht="15.95" customHeight="1" x14ac:dyDescent="0.25">
      <c r="A3" s="556" t="s">
        <v>186</v>
      </c>
      <c r="B3" s="557"/>
      <c r="C3" s="557"/>
      <c r="D3" s="557"/>
      <c r="E3" s="557"/>
      <c r="F3" s="557"/>
      <c r="G3" s="557"/>
      <c r="H3" s="557"/>
      <c r="I3" s="557"/>
      <c r="J3" s="557"/>
      <c r="K3" s="321"/>
      <c r="L3" s="319"/>
    </row>
    <row r="4" spans="1:15" ht="15.75" customHeight="1" x14ac:dyDescent="0.25">
      <c r="A4" s="558" t="s">
        <v>782</v>
      </c>
      <c r="B4" s="559"/>
      <c r="C4" s="559"/>
      <c r="D4" s="559"/>
      <c r="E4" s="559"/>
      <c r="F4" s="559"/>
      <c r="G4" s="559"/>
      <c r="H4" s="559"/>
      <c r="I4" s="559"/>
      <c r="J4" s="559"/>
      <c r="K4" s="322"/>
      <c r="L4" s="319"/>
    </row>
    <row r="5" spans="1:15" ht="12.75" customHeight="1" x14ac:dyDescent="0.25">
      <c r="A5" s="560" t="s">
        <v>188</v>
      </c>
      <c r="B5" s="561"/>
      <c r="C5" s="561"/>
      <c r="D5" s="561"/>
      <c r="E5" s="561"/>
      <c r="F5" s="561"/>
      <c r="G5" s="561"/>
      <c r="H5" s="561"/>
      <c r="I5" s="561"/>
      <c r="J5" s="561"/>
      <c r="K5" s="561"/>
      <c r="L5" s="319"/>
    </row>
    <row r="6" spans="1:15" ht="38.25" customHeight="1" x14ac:dyDescent="0.25">
      <c r="A6" s="552" t="s">
        <v>783</v>
      </c>
      <c r="B6" s="552" t="s">
        <v>784</v>
      </c>
      <c r="C6" s="552" t="s">
        <v>785</v>
      </c>
      <c r="D6" s="552" t="s">
        <v>786</v>
      </c>
      <c r="E6" s="552" t="s">
        <v>195</v>
      </c>
      <c r="F6" s="552" t="s">
        <v>787</v>
      </c>
      <c r="G6" s="552" t="s">
        <v>788</v>
      </c>
      <c r="H6" s="552" t="s">
        <v>789</v>
      </c>
      <c r="I6" s="552" t="s">
        <v>790</v>
      </c>
      <c r="J6" s="552" t="s">
        <v>791</v>
      </c>
      <c r="K6" s="552" t="s">
        <v>792</v>
      </c>
      <c r="L6" s="319"/>
    </row>
    <row r="7" spans="1:15" x14ac:dyDescent="0.25">
      <c r="A7" s="553"/>
      <c r="B7" s="553"/>
      <c r="C7" s="553"/>
      <c r="D7" s="553"/>
      <c r="E7" s="553"/>
      <c r="F7" s="553"/>
      <c r="G7" s="553"/>
      <c r="H7" s="553"/>
      <c r="I7" s="553"/>
      <c r="J7" s="553"/>
      <c r="K7" s="553"/>
      <c r="L7" s="319"/>
    </row>
    <row r="8" spans="1:15" ht="25.5" x14ac:dyDescent="0.25">
      <c r="A8" s="323" t="s">
        <v>793</v>
      </c>
      <c r="B8" s="324" t="s">
        <v>794</v>
      </c>
      <c r="C8" s="325">
        <v>2071021915.1600001</v>
      </c>
      <c r="D8" s="325">
        <v>2071021915.1600001</v>
      </c>
      <c r="E8" s="325">
        <v>2060504298.24</v>
      </c>
      <c r="F8" s="325">
        <v>2057032464.5999999</v>
      </c>
      <c r="G8" s="325">
        <v>3471833.64</v>
      </c>
      <c r="H8" s="325">
        <v>10517616.92</v>
      </c>
      <c r="I8" s="326">
        <v>0.9949215327742259</v>
      </c>
      <c r="J8" s="325">
        <v>13989450.560000001</v>
      </c>
      <c r="K8" s="326">
        <v>0.99324514605200631</v>
      </c>
      <c r="L8" s="319"/>
    </row>
    <row r="9" spans="1:15" ht="25.5" outlineLevel="1" x14ac:dyDescent="0.25">
      <c r="A9" s="323" t="s">
        <v>795</v>
      </c>
      <c r="B9" s="324" t="s">
        <v>796</v>
      </c>
      <c r="C9" s="325">
        <v>780913051.49000001</v>
      </c>
      <c r="D9" s="325">
        <v>780913051.49000001</v>
      </c>
      <c r="E9" s="325">
        <v>777677342.99000001</v>
      </c>
      <c r="F9" s="325">
        <v>777676648.23000002</v>
      </c>
      <c r="G9" s="325">
        <v>694.76</v>
      </c>
      <c r="H9" s="325">
        <v>3235708.5</v>
      </c>
      <c r="I9" s="326">
        <v>0.99585650605553822</v>
      </c>
      <c r="J9" s="325">
        <v>3236403.26</v>
      </c>
      <c r="K9" s="326">
        <v>0.99585561637902598</v>
      </c>
      <c r="L9" s="319"/>
    </row>
    <row r="10" spans="1:15" ht="25.5" outlineLevel="2" x14ac:dyDescent="0.25">
      <c r="A10" s="323" t="s">
        <v>797</v>
      </c>
      <c r="B10" s="324" t="s">
        <v>798</v>
      </c>
      <c r="C10" s="325">
        <v>777619695.98000002</v>
      </c>
      <c r="D10" s="325">
        <v>777619695.98000002</v>
      </c>
      <c r="E10" s="325">
        <v>774388009.48000002</v>
      </c>
      <c r="F10" s="325">
        <v>774387314.72000003</v>
      </c>
      <c r="G10" s="325">
        <v>694.76</v>
      </c>
      <c r="H10" s="325">
        <v>3231686.5</v>
      </c>
      <c r="I10" s="326">
        <v>0.99584412982759229</v>
      </c>
      <c r="J10" s="325">
        <v>3232381.26</v>
      </c>
      <c r="K10" s="326">
        <v>0.99584323638314443</v>
      </c>
      <c r="L10" s="319"/>
    </row>
    <row r="11" spans="1:15" ht="51" outlineLevel="3" x14ac:dyDescent="0.25">
      <c r="A11" s="323" t="s">
        <v>799</v>
      </c>
      <c r="B11" s="324" t="s">
        <v>202</v>
      </c>
      <c r="C11" s="325">
        <v>240293527.24000001</v>
      </c>
      <c r="D11" s="325">
        <v>240293527.24000001</v>
      </c>
      <c r="E11" s="325">
        <v>240293527.24000001</v>
      </c>
      <c r="F11" s="325">
        <v>240293527.24000001</v>
      </c>
      <c r="G11" s="325">
        <v>0</v>
      </c>
      <c r="H11" s="325">
        <v>0</v>
      </c>
      <c r="I11" s="326">
        <v>1</v>
      </c>
      <c r="J11" s="325">
        <v>0</v>
      </c>
      <c r="K11" s="326">
        <v>1</v>
      </c>
      <c r="L11" s="319"/>
    </row>
    <row r="12" spans="1:15" ht="76.5" outlineLevel="3" x14ac:dyDescent="0.25">
      <c r="A12" s="323" t="s">
        <v>800</v>
      </c>
      <c r="B12" s="324" t="s">
        <v>206</v>
      </c>
      <c r="C12" s="325">
        <v>13452617.439999999</v>
      </c>
      <c r="D12" s="325">
        <v>13452617.439999999</v>
      </c>
      <c r="E12" s="325">
        <v>13452617.439999999</v>
      </c>
      <c r="F12" s="325">
        <v>13452617.439999999</v>
      </c>
      <c r="G12" s="325">
        <v>0</v>
      </c>
      <c r="H12" s="325">
        <v>0</v>
      </c>
      <c r="I12" s="326">
        <v>1</v>
      </c>
      <c r="J12" s="325">
        <v>0</v>
      </c>
      <c r="K12" s="326">
        <v>1</v>
      </c>
      <c r="L12" s="319"/>
    </row>
    <row r="13" spans="1:15" ht="102" outlineLevel="3" x14ac:dyDescent="0.25">
      <c r="A13" s="323" t="s">
        <v>801</v>
      </c>
      <c r="B13" s="324" t="s">
        <v>802</v>
      </c>
      <c r="C13" s="325">
        <v>447716.01</v>
      </c>
      <c r="D13" s="325">
        <v>447716.01</v>
      </c>
      <c r="E13" s="325">
        <v>447716.01</v>
      </c>
      <c r="F13" s="325">
        <v>447716.01</v>
      </c>
      <c r="G13" s="325">
        <v>0</v>
      </c>
      <c r="H13" s="325">
        <v>0</v>
      </c>
      <c r="I13" s="326">
        <v>1</v>
      </c>
      <c r="J13" s="325">
        <v>0</v>
      </c>
      <c r="K13" s="326">
        <v>1</v>
      </c>
      <c r="L13" s="319"/>
    </row>
    <row r="14" spans="1:15" ht="63.75" outlineLevel="3" x14ac:dyDescent="0.25">
      <c r="A14" s="323" t="s">
        <v>803</v>
      </c>
      <c r="B14" s="324" t="s">
        <v>208</v>
      </c>
      <c r="C14" s="325">
        <v>249285</v>
      </c>
      <c r="D14" s="325">
        <v>249285</v>
      </c>
      <c r="E14" s="325">
        <v>249285</v>
      </c>
      <c r="F14" s="325">
        <v>249285</v>
      </c>
      <c r="G14" s="325">
        <v>0</v>
      </c>
      <c r="H14" s="325">
        <v>0</v>
      </c>
      <c r="I14" s="326">
        <v>1</v>
      </c>
      <c r="J14" s="325">
        <v>0</v>
      </c>
      <c r="K14" s="326">
        <v>1</v>
      </c>
      <c r="L14" s="319"/>
      <c r="O14" s="320" t="s">
        <v>887</v>
      </c>
    </row>
    <row r="15" spans="1:15" ht="89.25" outlineLevel="3" x14ac:dyDescent="0.25">
      <c r="A15" s="323" t="s">
        <v>804</v>
      </c>
      <c r="B15" s="324" t="s">
        <v>210</v>
      </c>
      <c r="C15" s="325">
        <v>13906667.050000001</v>
      </c>
      <c r="D15" s="325">
        <v>13906667.050000001</v>
      </c>
      <c r="E15" s="325">
        <v>13906667.050000001</v>
      </c>
      <c r="F15" s="325">
        <v>13906667.050000001</v>
      </c>
      <c r="G15" s="325">
        <v>0</v>
      </c>
      <c r="H15" s="325">
        <v>0</v>
      </c>
      <c r="I15" s="326">
        <v>1</v>
      </c>
      <c r="J15" s="325">
        <v>0</v>
      </c>
      <c r="K15" s="326">
        <v>1</v>
      </c>
      <c r="L15" s="319"/>
    </row>
    <row r="16" spans="1:15" ht="63.75" outlineLevel="3" x14ac:dyDescent="0.25">
      <c r="A16" s="323" t="s">
        <v>805</v>
      </c>
      <c r="B16" s="324" t="s">
        <v>212</v>
      </c>
      <c r="C16" s="325">
        <v>483886690</v>
      </c>
      <c r="D16" s="325">
        <v>483886690</v>
      </c>
      <c r="E16" s="325">
        <v>483886690</v>
      </c>
      <c r="F16" s="325">
        <v>483886690</v>
      </c>
      <c r="G16" s="325">
        <v>0</v>
      </c>
      <c r="H16" s="325">
        <v>0</v>
      </c>
      <c r="I16" s="326">
        <v>1</v>
      </c>
      <c r="J16" s="325">
        <v>0</v>
      </c>
      <c r="K16" s="326">
        <v>1</v>
      </c>
      <c r="L16" s="319"/>
    </row>
    <row r="17" spans="1:12" ht="153" outlineLevel="3" x14ac:dyDescent="0.25">
      <c r="A17" s="323" t="s">
        <v>806</v>
      </c>
      <c r="B17" s="324" t="s">
        <v>214</v>
      </c>
      <c r="C17" s="325">
        <v>434900</v>
      </c>
      <c r="D17" s="325">
        <v>434900</v>
      </c>
      <c r="E17" s="325">
        <v>327606.38</v>
      </c>
      <c r="F17" s="325">
        <v>327606.38</v>
      </c>
      <c r="G17" s="325">
        <v>0</v>
      </c>
      <c r="H17" s="325">
        <v>107293.62</v>
      </c>
      <c r="I17" s="326">
        <v>0.75329128535295475</v>
      </c>
      <c r="J17" s="325">
        <v>107293.62</v>
      </c>
      <c r="K17" s="326">
        <v>0.75329128535295475</v>
      </c>
      <c r="L17" s="319"/>
    </row>
    <row r="18" spans="1:12" ht="89.25" outlineLevel="3" x14ac:dyDescent="0.25">
      <c r="A18" s="323" t="s">
        <v>807</v>
      </c>
      <c r="B18" s="324" t="s">
        <v>216</v>
      </c>
      <c r="C18" s="325">
        <v>17394600</v>
      </c>
      <c r="D18" s="325">
        <v>17394600</v>
      </c>
      <c r="E18" s="325">
        <v>14270207.119999999</v>
      </c>
      <c r="F18" s="325">
        <v>14269512.359999999</v>
      </c>
      <c r="G18" s="325">
        <v>694.76</v>
      </c>
      <c r="H18" s="325">
        <v>3124392.88</v>
      </c>
      <c r="I18" s="326">
        <v>0.82038144711577154</v>
      </c>
      <c r="J18" s="325">
        <v>3125087.64</v>
      </c>
      <c r="K18" s="326">
        <v>0.82034150598461586</v>
      </c>
      <c r="L18" s="319"/>
    </row>
    <row r="19" spans="1:12" ht="102" outlineLevel="3" x14ac:dyDescent="0.25">
      <c r="A19" s="323" t="s">
        <v>808</v>
      </c>
      <c r="B19" s="324" t="s">
        <v>218</v>
      </c>
      <c r="C19" s="325">
        <v>1127567.6000000001</v>
      </c>
      <c r="D19" s="325">
        <v>1127567.6000000001</v>
      </c>
      <c r="E19" s="325">
        <v>1127567.6000000001</v>
      </c>
      <c r="F19" s="325">
        <v>1127567.6000000001</v>
      </c>
      <c r="G19" s="325">
        <v>0</v>
      </c>
      <c r="H19" s="325">
        <v>0</v>
      </c>
      <c r="I19" s="326">
        <v>1</v>
      </c>
      <c r="J19" s="325">
        <v>0</v>
      </c>
      <c r="K19" s="326">
        <v>1</v>
      </c>
      <c r="L19" s="319"/>
    </row>
    <row r="20" spans="1:12" ht="140.25" outlineLevel="3" x14ac:dyDescent="0.25">
      <c r="A20" s="323" t="s">
        <v>809</v>
      </c>
      <c r="B20" s="324" t="s">
        <v>220</v>
      </c>
      <c r="C20" s="325">
        <v>6426125.6399999997</v>
      </c>
      <c r="D20" s="325">
        <v>6426125.6399999997</v>
      </c>
      <c r="E20" s="325">
        <v>6426125.6399999997</v>
      </c>
      <c r="F20" s="325">
        <v>6426125.6399999997</v>
      </c>
      <c r="G20" s="325">
        <v>0</v>
      </c>
      <c r="H20" s="325">
        <v>0</v>
      </c>
      <c r="I20" s="326">
        <v>1</v>
      </c>
      <c r="J20" s="325">
        <v>0</v>
      </c>
      <c r="K20" s="326">
        <v>1</v>
      </c>
      <c r="L20" s="319"/>
    </row>
    <row r="21" spans="1:12" ht="63.75" outlineLevel="2" x14ac:dyDescent="0.25">
      <c r="A21" s="323" t="s">
        <v>810</v>
      </c>
      <c r="B21" s="324" t="s">
        <v>811</v>
      </c>
      <c r="C21" s="325">
        <v>3293355.51</v>
      </c>
      <c r="D21" s="325">
        <v>3293355.51</v>
      </c>
      <c r="E21" s="325">
        <v>3289333.51</v>
      </c>
      <c r="F21" s="325">
        <v>3289333.51</v>
      </c>
      <c r="G21" s="325">
        <v>0</v>
      </c>
      <c r="H21" s="325">
        <v>4022</v>
      </c>
      <c r="I21" s="326">
        <v>0.99877875316291009</v>
      </c>
      <c r="J21" s="325">
        <v>4022</v>
      </c>
      <c r="K21" s="326">
        <v>0.99877875316291009</v>
      </c>
      <c r="L21" s="319"/>
    </row>
    <row r="22" spans="1:12" ht="38.25" outlineLevel="3" x14ac:dyDescent="0.25">
      <c r="A22" s="323" t="s">
        <v>812</v>
      </c>
      <c r="B22" s="324" t="s">
        <v>223</v>
      </c>
      <c r="C22" s="325">
        <v>1202022</v>
      </c>
      <c r="D22" s="325">
        <v>1202022</v>
      </c>
      <c r="E22" s="325">
        <v>1198000</v>
      </c>
      <c r="F22" s="325">
        <v>1198000</v>
      </c>
      <c r="G22" s="325">
        <v>0</v>
      </c>
      <c r="H22" s="325">
        <v>4022</v>
      </c>
      <c r="I22" s="326">
        <v>0.99665397139153855</v>
      </c>
      <c r="J22" s="325">
        <v>4022</v>
      </c>
      <c r="K22" s="326">
        <v>0.99665397139153855</v>
      </c>
      <c r="L22" s="319"/>
    </row>
    <row r="23" spans="1:12" ht="25.5" outlineLevel="3" x14ac:dyDescent="0.25">
      <c r="A23" s="323" t="s">
        <v>813</v>
      </c>
      <c r="B23" s="324" t="s">
        <v>225</v>
      </c>
      <c r="C23" s="325">
        <v>500000</v>
      </c>
      <c r="D23" s="325">
        <v>500000</v>
      </c>
      <c r="E23" s="325">
        <v>500000</v>
      </c>
      <c r="F23" s="325">
        <v>500000</v>
      </c>
      <c r="G23" s="325">
        <v>0</v>
      </c>
      <c r="H23" s="325">
        <v>0</v>
      </c>
      <c r="I23" s="326">
        <v>1</v>
      </c>
      <c r="J23" s="325">
        <v>0</v>
      </c>
      <c r="K23" s="326">
        <v>1</v>
      </c>
      <c r="L23" s="319"/>
    </row>
    <row r="24" spans="1:12" ht="89.25" outlineLevel="3" x14ac:dyDescent="0.25">
      <c r="A24" s="323" t="s">
        <v>814</v>
      </c>
      <c r="B24" s="324" t="s">
        <v>647</v>
      </c>
      <c r="C24" s="325">
        <v>1591333.51</v>
      </c>
      <c r="D24" s="325">
        <v>1591333.51</v>
      </c>
      <c r="E24" s="325">
        <v>1591333.51</v>
      </c>
      <c r="F24" s="325">
        <v>1591333.51</v>
      </c>
      <c r="G24" s="325">
        <v>0</v>
      </c>
      <c r="H24" s="325">
        <v>0</v>
      </c>
      <c r="I24" s="326">
        <v>1</v>
      </c>
      <c r="J24" s="325">
        <v>0</v>
      </c>
      <c r="K24" s="326">
        <v>1</v>
      </c>
      <c r="L24" s="319"/>
    </row>
    <row r="25" spans="1:12" ht="25.5" outlineLevel="1" x14ac:dyDescent="0.25">
      <c r="A25" s="323" t="s">
        <v>815</v>
      </c>
      <c r="B25" s="324" t="s">
        <v>816</v>
      </c>
      <c r="C25" s="325">
        <v>670610391.33000004</v>
      </c>
      <c r="D25" s="325">
        <v>670610391.33000004</v>
      </c>
      <c r="E25" s="325">
        <v>670114137.38999999</v>
      </c>
      <c r="F25" s="325">
        <v>669987391.27999997</v>
      </c>
      <c r="G25" s="325">
        <v>126746.11</v>
      </c>
      <c r="H25" s="325">
        <v>496253.94</v>
      </c>
      <c r="I25" s="326">
        <v>0.99925999664422771</v>
      </c>
      <c r="J25" s="325">
        <v>623000.05000000005</v>
      </c>
      <c r="K25" s="326">
        <v>0.99907099553175072</v>
      </c>
      <c r="L25" s="319"/>
    </row>
    <row r="26" spans="1:12" outlineLevel="2" x14ac:dyDescent="0.25">
      <c r="A26" s="323" t="s">
        <v>817</v>
      </c>
      <c r="B26" s="324" t="s">
        <v>818</v>
      </c>
      <c r="C26" s="325">
        <v>625289106.51999998</v>
      </c>
      <c r="D26" s="325">
        <v>625289106.51999998</v>
      </c>
      <c r="E26" s="325">
        <v>625015935.72000003</v>
      </c>
      <c r="F26" s="325">
        <v>624889189.61000001</v>
      </c>
      <c r="G26" s="325">
        <v>126746.11</v>
      </c>
      <c r="H26" s="325">
        <v>273170.8</v>
      </c>
      <c r="I26" s="326">
        <v>0.99956312880369802</v>
      </c>
      <c r="J26" s="325">
        <v>399916.91</v>
      </c>
      <c r="K26" s="326">
        <v>0.99936042879073061</v>
      </c>
      <c r="L26" s="319"/>
    </row>
    <row r="27" spans="1:12" ht="51" outlineLevel="3" x14ac:dyDescent="0.25">
      <c r="A27" s="323" t="s">
        <v>799</v>
      </c>
      <c r="B27" s="324" t="s">
        <v>228</v>
      </c>
      <c r="C27" s="325">
        <v>97280235.609999999</v>
      </c>
      <c r="D27" s="325">
        <v>97280235.609999999</v>
      </c>
      <c r="E27" s="325">
        <v>97280235.609999999</v>
      </c>
      <c r="F27" s="325">
        <v>97280235.609999999</v>
      </c>
      <c r="G27" s="325">
        <v>0</v>
      </c>
      <c r="H27" s="325">
        <v>0</v>
      </c>
      <c r="I27" s="326">
        <v>1</v>
      </c>
      <c r="J27" s="325">
        <v>0</v>
      </c>
      <c r="K27" s="326">
        <v>1</v>
      </c>
      <c r="L27" s="319"/>
    </row>
    <row r="28" spans="1:12" ht="76.5" outlineLevel="3" x14ac:dyDescent="0.25">
      <c r="A28" s="323" t="s">
        <v>800</v>
      </c>
      <c r="B28" s="324" t="s">
        <v>229</v>
      </c>
      <c r="C28" s="325">
        <v>8017000.3799999999</v>
      </c>
      <c r="D28" s="325">
        <v>8017000.3799999999</v>
      </c>
      <c r="E28" s="325">
        <v>8016792.7300000004</v>
      </c>
      <c r="F28" s="325">
        <v>8014393.7400000002</v>
      </c>
      <c r="G28" s="325">
        <v>2398.9899999999998</v>
      </c>
      <c r="H28" s="325">
        <v>207.65</v>
      </c>
      <c r="I28" s="326">
        <v>0.99997409879129884</v>
      </c>
      <c r="J28" s="325">
        <v>2606.64</v>
      </c>
      <c r="K28" s="326">
        <v>0.99967486093595515</v>
      </c>
      <c r="L28" s="319"/>
    </row>
    <row r="29" spans="1:12" ht="102" outlineLevel="3" x14ac:dyDescent="0.25">
      <c r="A29" s="323" t="s">
        <v>801</v>
      </c>
      <c r="B29" s="324" t="s">
        <v>231</v>
      </c>
      <c r="C29" s="325">
        <v>422001.95</v>
      </c>
      <c r="D29" s="325">
        <v>422001.95</v>
      </c>
      <c r="E29" s="325">
        <v>422001.95</v>
      </c>
      <c r="F29" s="325">
        <v>422001.95</v>
      </c>
      <c r="G29" s="325">
        <v>0</v>
      </c>
      <c r="H29" s="325">
        <v>0</v>
      </c>
      <c r="I29" s="326">
        <v>1</v>
      </c>
      <c r="J29" s="325">
        <v>0</v>
      </c>
      <c r="K29" s="326">
        <v>1</v>
      </c>
      <c r="L29" s="319"/>
    </row>
    <row r="30" spans="1:12" ht="63.75" outlineLevel="3" x14ac:dyDescent="0.25">
      <c r="A30" s="323" t="s">
        <v>803</v>
      </c>
      <c r="B30" s="324" t="s">
        <v>232</v>
      </c>
      <c r="C30" s="325">
        <v>253320</v>
      </c>
      <c r="D30" s="325">
        <v>253320</v>
      </c>
      <c r="E30" s="325">
        <v>253320</v>
      </c>
      <c r="F30" s="325">
        <v>253320</v>
      </c>
      <c r="G30" s="325">
        <v>0</v>
      </c>
      <c r="H30" s="325">
        <v>0</v>
      </c>
      <c r="I30" s="326">
        <v>1</v>
      </c>
      <c r="J30" s="325">
        <v>0</v>
      </c>
      <c r="K30" s="326">
        <v>1</v>
      </c>
      <c r="L30" s="319"/>
    </row>
    <row r="31" spans="1:12" ht="76.5" outlineLevel="3" x14ac:dyDescent="0.25">
      <c r="A31" s="323" t="s">
        <v>819</v>
      </c>
      <c r="B31" s="324" t="s">
        <v>234</v>
      </c>
      <c r="C31" s="325">
        <v>40388040</v>
      </c>
      <c r="D31" s="325">
        <v>40388040</v>
      </c>
      <c r="E31" s="325">
        <v>40161923.960000001</v>
      </c>
      <c r="F31" s="325">
        <v>40039286.240000002</v>
      </c>
      <c r="G31" s="325">
        <v>122637.72</v>
      </c>
      <c r="H31" s="325">
        <v>226116.04</v>
      </c>
      <c r="I31" s="326">
        <v>0.99440141091273559</v>
      </c>
      <c r="J31" s="325">
        <v>348753.76</v>
      </c>
      <c r="K31" s="326">
        <v>0.99136492486389538</v>
      </c>
      <c r="L31" s="319"/>
    </row>
    <row r="32" spans="1:12" ht="89.25" outlineLevel="3" x14ac:dyDescent="0.25">
      <c r="A32" s="323" t="s">
        <v>804</v>
      </c>
      <c r="B32" s="324" t="s">
        <v>235</v>
      </c>
      <c r="C32" s="325">
        <v>569225.18999999994</v>
      </c>
      <c r="D32" s="325">
        <v>569225.18999999994</v>
      </c>
      <c r="E32" s="325">
        <v>569225.18999999994</v>
      </c>
      <c r="F32" s="325">
        <v>569225.18999999994</v>
      </c>
      <c r="G32" s="325">
        <v>0</v>
      </c>
      <c r="H32" s="325">
        <v>0</v>
      </c>
      <c r="I32" s="326">
        <v>1</v>
      </c>
      <c r="J32" s="325">
        <v>0</v>
      </c>
      <c r="K32" s="326">
        <v>1</v>
      </c>
      <c r="L32" s="319"/>
    </row>
    <row r="33" spans="1:12" ht="89.25" outlineLevel="3" x14ac:dyDescent="0.25">
      <c r="A33" s="323" t="s">
        <v>820</v>
      </c>
      <c r="B33" s="324" t="s">
        <v>237</v>
      </c>
      <c r="C33" s="325">
        <v>1835820</v>
      </c>
      <c r="D33" s="325">
        <v>1835820</v>
      </c>
      <c r="E33" s="325">
        <v>1832672.89</v>
      </c>
      <c r="F33" s="325">
        <v>1830963.49</v>
      </c>
      <c r="G33" s="325">
        <v>1709.4</v>
      </c>
      <c r="H33" s="325">
        <v>3147.11</v>
      </c>
      <c r="I33" s="326">
        <v>0.99828571973287139</v>
      </c>
      <c r="J33" s="325">
        <v>4856.51</v>
      </c>
      <c r="K33" s="326">
        <v>0.99735458269329236</v>
      </c>
      <c r="L33" s="319"/>
    </row>
    <row r="34" spans="1:12" ht="242.25" outlineLevel="3" x14ac:dyDescent="0.25">
      <c r="A34" s="323" t="s">
        <v>821</v>
      </c>
      <c r="B34" s="324" t="s">
        <v>239</v>
      </c>
      <c r="C34" s="325">
        <v>1757300</v>
      </c>
      <c r="D34" s="325">
        <v>1757300</v>
      </c>
      <c r="E34" s="325">
        <v>1713600</v>
      </c>
      <c r="F34" s="325">
        <v>1713600</v>
      </c>
      <c r="G34" s="325">
        <v>0</v>
      </c>
      <c r="H34" s="325">
        <v>43700</v>
      </c>
      <c r="I34" s="326">
        <v>0.9751323052409947</v>
      </c>
      <c r="J34" s="325">
        <v>43700</v>
      </c>
      <c r="K34" s="326">
        <v>0.9751323052409947</v>
      </c>
      <c r="L34" s="319"/>
    </row>
    <row r="35" spans="1:12" ht="63.75" outlineLevel="3" x14ac:dyDescent="0.25">
      <c r="A35" s="323" t="s">
        <v>805</v>
      </c>
      <c r="B35" s="324" t="s">
        <v>240</v>
      </c>
      <c r="C35" s="325">
        <v>474720010</v>
      </c>
      <c r="D35" s="325">
        <v>474720010</v>
      </c>
      <c r="E35" s="325">
        <v>474720010</v>
      </c>
      <c r="F35" s="325">
        <v>474720010</v>
      </c>
      <c r="G35" s="325">
        <v>0</v>
      </c>
      <c r="H35" s="325">
        <v>0</v>
      </c>
      <c r="I35" s="326">
        <v>1</v>
      </c>
      <c r="J35" s="325">
        <v>0</v>
      </c>
      <c r="K35" s="326">
        <v>1</v>
      </c>
      <c r="L35" s="319"/>
    </row>
    <row r="36" spans="1:12" ht="102" outlineLevel="3" x14ac:dyDescent="0.25">
      <c r="A36" s="323" t="s">
        <v>808</v>
      </c>
      <c r="B36" s="324" t="s">
        <v>241</v>
      </c>
      <c r="C36" s="325">
        <v>46153.39</v>
      </c>
      <c r="D36" s="325">
        <v>46153.39</v>
      </c>
      <c r="E36" s="325">
        <v>46153.39</v>
      </c>
      <c r="F36" s="325">
        <v>46153.39</v>
      </c>
      <c r="G36" s="325">
        <v>0</v>
      </c>
      <c r="H36" s="325">
        <v>0</v>
      </c>
      <c r="I36" s="326">
        <v>1</v>
      </c>
      <c r="J36" s="325">
        <v>0</v>
      </c>
      <c r="K36" s="326">
        <v>1</v>
      </c>
      <c r="L36" s="319"/>
    </row>
    <row r="37" spans="1:12" ht="63.75" outlineLevel="2" x14ac:dyDescent="0.25">
      <c r="A37" s="323" t="s">
        <v>822</v>
      </c>
      <c r="B37" s="324" t="s">
        <v>823</v>
      </c>
      <c r="C37" s="325">
        <v>45321284.810000002</v>
      </c>
      <c r="D37" s="325">
        <v>45321284.810000002</v>
      </c>
      <c r="E37" s="325">
        <v>45098201.670000002</v>
      </c>
      <c r="F37" s="325">
        <v>45098201.670000002</v>
      </c>
      <c r="G37" s="325">
        <v>0</v>
      </c>
      <c r="H37" s="325">
        <v>223083.14</v>
      </c>
      <c r="I37" s="326">
        <v>0.99507774016259187</v>
      </c>
      <c r="J37" s="325">
        <v>223083.14</v>
      </c>
      <c r="K37" s="326">
        <v>0.99507774016259187</v>
      </c>
      <c r="L37" s="319"/>
    </row>
    <row r="38" spans="1:12" ht="38.25" outlineLevel="3" x14ac:dyDescent="0.25">
      <c r="A38" s="323" t="s">
        <v>812</v>
      </c>
      <c r="B38" s="324" t="s">
        <v>243</v>
      </c>
      <c r="C38" s="325">
        <v>6224448</v>
      </c>
      <c r="D38" s="325">
        <v>6224448</v>
      </c>
      <c r="E38" s="325">
        <v>6224448</v>
      </c>
      <c r="F38" s="325">
        <v>6224448</v>
      </c>
      <c r="G38" s="325">
        <v>0</v>
      </c>
      <c r="H38" s="325">
        <v>0</v>
      </c>
      <c r="I38" s="326">
        <v>1</v>
      </c>
      <c r="J38" s="325">
        <v>0</v>
      </c>
      <c r="K38" s="326">
        <v>1</v>
      </c>
      <c r="L38" s="319"/>
    </row>
    <row r="39" spans="1:12" ht="25.5" outlineLevel="3" x14ac:dyDescent="0.25">
      <c r="A39" s="323" t="s">
        <v>813</v>
      </c>
      <c r="B39" s="324" t="s">
        <v>244</v>
      </c>
      <c r="C39" s="325">
        <v>2932256</v>
      </c>
      <c r="D39" s="325">
        <v>2932256</v>
      </c>
      <c r="E39" s="325">
        <v>2908565.81</v>
      </c>
      <c r="F39" s="325">
        <v>2908565.81</v>
      </c>
      <c r="G39" s="325">
        <v>0</v>
      </c>
      <c r="H39" s="325">
        <v>23690.19</v>
      </c>
      <c r="I39" s="326">
        <v>0.99192083160542599</v>
      </c>
      <c r="J39" s="325">
        <v>23690.19</v>
      </c>
      <c r="K39" s="326">
        <v>0.99192083160542599</v>
      </c>
      <c r="L39" s="319"/>
    </row>
    <row r="40" spans="1:12" ht="51" outlineLevel="3" x14ac:dyDescent="0.25">
      <c r="A40" s="323" t="s">
        <v>824</v>
      </c>
      <c r="B40" s="324" t="s">
        <v>246</v>
      </c>
      <c r="C40" s="325">
        <v>4114410</v>
      </c>
      <c r="D40" s="325">
        <v>4114410</v>
      </c>
      <c r="E40" s="325">
        <v>4114410</v>
      </c>
      <c r="F40" s="325">
        <v>4114410</v>
      </c>
      <c r="G40" s="325">
        <v>0</v>
      </c>
      <c r="H40" s="325">
        <v>0</v>
      </c>
      <c r="I40" s="326">
        <v>1</v>
      </c>
      <c r="J40" s="325">
        <v>0</v>
      </c>
      <c r="K40" s="326">
        <v>1</v>
      </c>
      <c r="L40" s="319"/>
    </row>
    <row r="41" spans="1:12" ht="38.25" outlineLevel="3" x14ac:dyDescent="0.25">
      <c r="A41" s="323" t="s">
        <v>825</v>
      </c>
      <c r="B41" s="324" t="s">
        <v>248</v>
      </c>
      <c r="C41" s="325">
        <v>31716570</v>
      </c>
      <c r="D41" s="325">
        <v>31716570</v>
      </c>
      <c r="E41" s="325">
        <v>31517177.050000001</v>
      </c>
      <c r="F41" s="325">
        <v>31517177.050000001</v>
      </c>
      <c r="G41" s="325">
        <v>0</v>
      </c>
      <c r="H41" s="325">
        <v>199392.95</v>
      </c>
      <c r="I41" s="326">
        <v>0.99371328772310497</v>
      </c>
      <c r="J41" s="325">
        <v>199392.95</v>
      </c>
      <c r="K41" s="326">
        <v>0.99371328772310497</v>
      </c>
      <c r="L41" s="319"/>
    </row>
    <row r="42" spans="1:12" ht="63.75" outlineLevel="3" x14ac:dyDescent="0.25">
      <c r="A42" s="323" t="s">
        <v>826</v>
      </c>
      <c r="B42" s="324" t="s">
        <v>250</v>
      </c>
      <c r="C42" s="325">
        <v>333600.81</v>
      </c>
      <c r="D42" s="325">
        <v>333600.81</v>
      </c>
      <c r="E42" s="325">
        <v>333600.81</v>
      </c>
      <c r="F42" s="325">
        <v>333600.81</v>
      </c>
      <c r="G42" s="325">
        <v>0</v>
      </c>
      <c r="H42" s="325">
        <v>0</v>
      </c>
      <c r="I42" s="326">
        <v>1</v>
      </c>
      <c r="J42" s="325">
        <v>0</v>
      </c>
      <c r="K42" s="326">
        <v>1</v>
      </c>
      <c r="L42" s="319"/>
    </row>
    <row r="43" spans="1:12" ht="25.5" outlineLevel="1" x14ac:dyDescent="0.25">
      <c r="A43" s="323" t="s">
        <v>827</v>
      </c>
      <c r="B43" s="324" t="s">
        <v>828</v>
      </c>
      <c r="C43" s="325">
        <v>379735198.31</v>
      </c>
      <c r="D43" s="325">
        <v>379735198.31</v>
      </c>
      <c r="E43" s="325">
        <v>379706064.56999999</v>
      </c>
      <c r="F43" s="325">
        <v>379706064.56999999</v>
      </c>
      <c r="G43" s="325">
        <v>0</v>
      </c>
      <c r="H43" s="325">
        <v>29133.74</v>
      </c>
      <c r="I43" s="326">
        <v>0.99992327880025433</v>
      </c>
      <c r="J43" s="325">
        <v>29133.74</v>
      </c>
      <c r="K43" s="326">
        <v>0.99992327880025433</v>
      </c>
      <c r="L43" s="319"/>
    </row>
    <row r="44" spans="1:12" ht="25.5" outlineLevel="2" x14ac:dyDescent="0.25">
      <c r="A44" s="323" t="s">
        <v>829</v>
      </c>
      <c r="B44" s="324" t="s">
        <v>830</v>
      </c>
      <c r="C44" s="325">
        <v>271888833.13</v>
      </c>
      <c r="D44" s="325">
        <v>271888833.13</v>
      </c>
      <c r="E44" s="325">
        <v>271860434.14999998</v>
      </c>
      <c r="F44" s="325">
        <v>271860434.14999998</v>
      </c>
      <c r="G44" s="325">
        <v>0</v>
      </c>
      <c r="H44" s="325">
        <v>28398.98</v>
      </c>
      <c r="I44" s="326">
        <v>0.99989554929611091</v>
      </c>
      <c r="J44" s="325">
        <v>28398.98</v>
      </c>
      <c r="K44" s="326">
        <v>0.99989554929611091</v>
      </c>
      <c r="L44" s="319"/>
    </row>
    <row r="45" spans="1:12" ht="51" outlineLevel="3" x14ac:dyDescent="0.25">
      <c r="A45" s="323" t="s">
        <v>799</v>
      </c>
      <c r="B45" s="324" t="s">
        <v>253</v>
      </c>
      <c r="C45" s="325">
        <v>121234839.14</v>
      </c>
      <c r="D45" s="325">
        <v>121234839.14</v>
      </c>
      <c r="E45" s="325">
        <v>121223115.14</v>
      </c>
      <c r="F45" s="325">
        <v>121223115.14</v>
      </c>
      <c r="G45" s="325">
        <v>0</v>
      </c>
      <c r="H45" s="325">
        <v>11724</v>
      </c>
      <c r="I45" s="326">
        <v>0.99990329512470866</v>
      </c>
      <c r="J45" s="325">
        <v>11724</v>
      </c>
      <c r="K45" s="326">
        <v>0.99990329512470866</v>
      </c>
      <c r="L45" s="319"/>
    </row>
    <row r="46" spans="1:12" ht="76.5" outlineLevel="3" x14ac:dyDescent="0.25">
      <c r="A46" s="323" t="s">
        <v>800</v>
      </c>
      <c r="B46" s="324" t="s">
        <v>254</v>
      </c>
      <c r="C46" s="325">
        <v>3580872.8</v>
      </c>
      <c r="D46" s="325">
        <v>3580872.8</v>
      </c>
      <c r="E46" s="325">
        <v>3564197.82</v>
      </c>
      <c r="F46" s="325">
        <v>3564197.82</v>
      </c>
      <c r="G46" s="325">
        <v>0</v>
      </c>
      <c r="H46" s="325">
        <v>16674.98</v>
      </c>
      <c r="I46" s="326">
        <v>0.99534331965100797</v>
      </c>
      <c r="J46" s="325">
        <v>16674.98</v>
      </c>
      <c r="K46" s="326">
        <v>0.99534331965100797</v>
      </c>
      <c r="L46" s="319"/>
    </row>
    <row r="47" spans="1:12" ht="102" outlineLevel="3" x14ac:dyDescent="0.25">
      <c r="A47" s="323" t="s">
        <v>801</v>
      </c>
      <c r="B47" s="324" t="s">
        <v>831</v>
      </c>
      <c r="C47" s="325">
        <v>37460</v>
      </c>
      <c r="D47" s="325">
        <v>37460</v>
      </c>
      <c r="E47" s="325">
        <v>37460</v>
      </c>
      <c r="F47" s="325">
        <v>37460</v>
      </c>
      <c r="G47" s="325">
        <v>0</v>
      </c>
      <c r="H47" s="325">
        <v>0</v>
      </c>
      <c r="I47" s="326">
        <v>1</v>
      </c>
      <c r="J47" s="325">
        <v>0</v>
      </c>
      <c r="K47" s="326">
        <v>1</v>
      </c>
      <c r="L47" s="319"/>
    </row>
    <row r="48" spans="1:12" ht="63.75" outlineLevel="3" x14ac:dyDescent="0.25">
      <c r="A48" s="323" t="s">
        <v>803</v>
      </c>
      <c r="B48" s="324" t="s">
        <v>255</v>
      </c>
      <c r="C48" s="325">
        <v>165183</v>
      </c>
      <c r="D48" s="325">
        <v>165183</v>
      </c>
      <c r="E48" s="325">
        <v>165183</v>
      </c>
      <c r="F48" s="325">
        <v>165183</v>
      </c>
      <c r="G48" s="325">
        <v>0</v>
      </c>
      <c r="H48" s="325">
        <v>0</v>
      </c>
      <c r="I48" s="326">
        <v>1</v>
      </c>
      <c r="J48" s="325">
        <v>0</v>
      </c>
      <c r="K48" s="326">
        <v>1</v>
      </c>
      <c r="L48" s="319"/>
    </row>
    <row r="49" spans="1:12" ht="25.5" outlineLevel="3" x14ac:dyDescent="0.25">
      <c r="A49" s="323" t="s">
        <v>813</v>
      </c>
      <c r="B49" s="324" t="s">
        <v>256</v>
      </c>
      <c r="C49" s="325">
        <v>13042337.4</v>
      </c>
      <c r="D49" s="325">
        <v>13042337.4</v>
      </c>
      <c r="E49" s="325">
        <v>13042337.4</v>
      </c>
      <c r="F49" s="325">
        <v>13042337.4</v>
      </c>
      <c r="G49" s="325">
        <v>0</v>
      </c>
      <c r="H49" s="325">
        <v>0</v>
      </c>
      <c r="I49" s="326">
        <v>1</v>
      </c>
      <c r="J49" s="325">
        <v>0</v>
      </c>
      <c r="K49" s="326">
        <v>1</v>
      </c>
      <c r="L49" s="319"/>
    </row>
    <row r="50" spans="1:12" ht="89.25" outlineLevel="3" x14ac:dyDescent="0.25">
      <c r="A50" s="323" t="s">
        <v>804</v>
      </c>
      <c r="B50" s="324" t="s">
        <v>257</v>
      </c>
      <c r="C50" s="325">
        <v>26922897.550000001</v>
      </c>
      <c r="D50" s="325">
        <v>26922897.550000001</v>
      </c>
      <c r="E50" s="325">
        <v>26922897.550000001</v>
      </c>
      <c r="F50" s="325">
        <v>26922897.550000001</v>
      </c>
      <c r="G50" s="325">
        <v>0</v>
      </c>
      <c r="H50" s="325">
        <v>0</v>
      </c>
      <c r="I50" s="326">
        <v>1</v>
      </c>
      <c r="J50" s="325">
        <v>0</v>
      </c>
      <c r="K50" s="326">
        <v>1</v>
      </c>
      <c r="L50" s="319"/>
    </row>
    <row r="51" spans="1:12" ht="102" outlineLevel="3" x14ac:dyDescent="0.25">
      <c r="A51" s="323" t="s">
        <v>808</v>
      </c>
      <c r="B51" s="324" t="s">
        <v>258</v>
      </c>
      <c r="C51" s="325">
        <v>2182937.63</v>
      </c>
      <c r="D51" s="325">
        <v>2182937.63</v>
      </c>
      <c r="E51" s="325">
        <v>2182937.63</v>
      </c>
      <c r="F51" s="325">
        <v>2182937.63</v>
      </c>
      <c r="G51" s="325">
        <v>0</v>
      </c>
      <c r="H51" s="325">
        <v>0</v>
      </c>
      <c r="I51" s="326">
        <v>1</v>
      </c>
      <c r="J51" s="325">
        <v>0</v>
      </c>
      <c r="K51" s="326">
        <v>1</v>
      </c>
      <c r="L51" s="319"/>
    </row>
    <row r="52" spans="1:12" ht="140.25" outlineLevel="3" x14ac:dyDescent="0.25">
      <c r="A52" s="323" t="s">
        <v>809</v>
      </c>
      <c r="B52" s="324" t="s">
        <v>259</v>
      </c>
      <c r="C52" s="325">
        <v>104722305.61</v>
      </c>
      <c r="D52" s="325">
        <v>104722305.61</v>
      </c>
      <c r="E52" s="325">
        <v>104722305.61</v>
      </c>
      <c r="F52" s="325">
        <v>104722305.61</v>
      </c>
      <c r="G52" s="325">
        <v>0</v>
      </c>
      <c r="H52" s="325">
        <v>0</v>
      </c>
      <c r="I52" s="326">
        <v>1</v>
      </c>
      <c r="J52" s="325">
        <v>0</v>
      </c>
      <c r="K52" s="326">
        <v>1</v>
      </c>
      <c r="L52" s="319"/>
    </row>
    <row r="53" spans="1:12" ht="25.5" outlineLevel="2" x14ac:dyDescent="0.25">
      <c r="A53" s="323" t="s">
        <v>832</v>
      </c>
      <c r="B53" s="324" t="s">
        <v>833</v>
      </c>
      <c r="C53" s="325">
        <v>86468915.150000006</v>
      </c>
      <c r="D53" s="325">
        <v>86468915.150000006</v>
      </c>
      <c r="E53" s="325">
        <v>86468915.150000006</v>
      </c>
      <c r="F53" s="325">
        <v>86468915.150000006</v>
      </c>
      <c r="G53" s="325">
        <v>0</v>
      </c>
      <c r="H53" s="325">
        <v>0</v>
      </c>
      <c r="I53" s="326">
        <v>1</v>
      </c>
      <c r="J53" s="325">
        <v>0</v>
      </c>
      <c r="K53" s="326">
        <v>1</v>
      </c>
      <c r="L53" s="319"/>
    </row>
    <row r="54" spans="1:12" ht="51" outlineLevel="3" x14ac:dyDescent="0.25">
      <c r="A54" s="323" t="s">
        <v>799</v>
      </c>
      <c r="B54" s="324" t="s">
        <v>261</v>
      </c>
      <c r="C54" s="325">
        <v>24440465.300000001</v>
      </c>
      <c r="D54" s="325">
        <v>24440465.300000001</v>
      </c>
      <c r="E54" s="325">
        <v>24440465.300000001</v>
      </c>
      <c r="F54" s="325">
        <v>24440465.300000001</v>
      </c>
      <c r="G54" s="325">
        <v>0</v>
      </c>
      <c r="H54" s="325">
        <v>0</v>
      </c>
      <c r="I54" s="326">
        <v>1</v>
      </c>
      <c r="J54" s="325">
        <v>0</v>
      </c>
      <c r="K54" s="326">
        <v>1</v>
      </c>
      <c r="L54" s="319"/>
    </row>
    <row r="55" spans="1:12" ht="76.5" outlineLevel="3" x14ac:dyDescent="0.25">
      <c r="A55" s="323" t="s">
        <v>800</v>
      </c>
      <c r="B55" s="324" t="s">
        <v>264</v>
      </c>
      <c r="C55" s="325">
        <v>1307744.3700000001</v>
      </c>
      <c r="D55" s="325">
        <v>1307744.3700000001</v>
      </c>
      <c r="E55" s="325">
        <v>1307744.3700000001</v>
      </c>
      <c r="F55" s="325">
        <v>1307744.3700000001</v>
      </c>
      <c r="G55" s="325">
        <v>0</v>
      </c>
      <c r="H55" s="325">
        <v>0</v>
      </c>
      <c r="I55" s="326">
        <v>1</v>
      </c>
      <c r="J55" s="325">
        <v>0</v>
      </c>
      <c r="K55" s="326">
        <v>1</v>
      </c>
      <c r="L55" s="319"/>
    </row>
    <row r="56" spans="1:12" ht="63.75" outlineLevel="3" x14ac:dyDescent="0.25">
      <c r="A56" s="323" t="s">
        <v>803</v>
      </c>
      <c r="B56" s="324" t="s">
        <v>265</v>
      </c>
      <c r="C56" s="325">
        <v>101194.05</v>
      </c>
      <c r="D56" s="325">
        <v>101194.05</v>
      </c>
      <c r="E56" s="325">
        <v>101194.05</v>
      </c>
      <c r="F56" s="325">
        <v>101194.05</v>
      </c>
      <c r="G56" s="325">
        <v>0</v>
      </c>
      <c r="H56" s="325">
        <v>0</v>
      </c>
      <c r="I56" s="326">
        <v>1</v>
      </c>
      <c r="J56" s="325">
        <v>0</v>
      </c>
      <c r="K56" s="326">
        <v>1</v>
      </c>
      <c r="L56" s="319"/>
    </row>
    <row r="57" spans="1:12" ht="89.25" outlineLevel="3" x14ac:dyDescent="0.25">
      <c r="A57" s="323" t="s">
        <v>804</v>
      </c>
      <c r="B57" s="324" t="s">
        <v>266</v>
      </c>
      <c r="C57" s="325">
        <v>10807560.02</v>
      </c>
      <c r="D57" s="325">
        <v>10807560.02</v>
      </c>
      <c r="E57" s="325">
        <v>10807560.02</v>
      </c>
      <c r="F57" s="325">
        <v>10807560.02</v>
      </c>
      <c r="G57" s="325">
        <v>0</v>
      </c>
      <c r="H57" s="325">
        <v>0</v>
      </c>
      <c r="I57" s="326">
        <v>1</v>
      </c>
      <c r="J57" s="325">
        <v>0</v>
      </c>
      <c r="K57" s="326">
        <v>1</v>
      </c>
      <c r="L57" s="319"/>
    </row>
    <row r="58" spans="1:12" ht="102" outlineLevel="3" x14ac:dyDescent="0.25">
      <c r="A58" s="323" t="s">
        <v>808</v>
      </c>
      <c r="B58" s="324" t="s">
        <v>267</v>
      </c>
      <c r="C58" s="325">
        <v>876288.64</v>
      </c>
      <c r="D58" s="325">
        <v>876288.64</v>
      </c>
      <c r="E58" s="325">
        <v>876288.64</v>
      </c>
      <c r="F58" s="325">
        <v>876288.64</v>
      </c>
      <c r="G58" s="325">
        <v>0</v>
      </c>
      <c r="H58" s="325">
        <v>0</v>
      </c>
      <c r="I58" s="326">
        <v>1</v>
      </c>
      <c r="J58" s="325">
        <v>0</v>
      </c>
      <c r="K58" s="326">
        <v>1</v>
      </c>
      <c r="L58" s="319"/>
    </row>
    <row r="59" spans="1:12" ht="140.25" outlineLevel="3" x14ac:dyDescent="0.25">
      <c r="A59" s="323" t="s">
        <v>809</v>
      </c>
      <c r="B59" s="324" t="s">
        <v>268</v>
      </c>
      <c r="C59" s="325">
        <v>48935662.770000003</v>
      </c>
      <c r="D59" s="325">
        <v>48935662.770000003</v>
      </c>
      <c r="E59" s="325">
        <v>48935662.770000003</v>
      </c>
      <c r="F59" s="325">
        <v>48935662.770000003</v>
      </c>
      <c r="G59" s="325">
        <v>0</v>
      </c>
      <c r="H59" s="325">
        <v>0</v>
      </c>
      <c r="I59" s="326">
        <v>1</v>
      </c>
      <c r="J59" s="325">
        <v>0</v>
      </c>
      <c r="K59" s="326">
        <v>1</v>
      </c>
      <c r="L59" s="319"/>
    </row>
    <row r="60" spans="1:12" ht="63.75" outlineLevel="2" x14ac:dyDescent="0.25">
      <c r="A60" s="323" t="s">
        <v>834</v>
      </c>
      <c r="B60" s="324" t="s">
        <v>835</v>
      </c>
      <c r="C60" s="325">
        <v>7713801.1299999999</v>
      </c>
      <c r="D60" s="325">
        <v>7713801.1299999999</v>
      </c>
      <c r="E60" s="325">
        <v>7713801.1299999999</v>
      </c>
      <c r="F60" s="325">
        <v>7713801.1299999999</v>
      </c>
      <c r="G60" s="325">
        <v>0</v>
      </c>
      <c r="H60" s="325">
        <v>0</v>
      </c>
      <c r="I60" s="326">
        <v>1</v>
      </c>
      <c r="J60" s="325">
        <v>0</v>
      </c>
      <c r="K60" s="326">
        <v>1</v>
      </c>
      <c r="L60" s="319"/>
    </row>
    <row r="61" spans="1:12" ht="38.25" outlineLevel="3" x14ac:dyDescent="0.25">
      <c r="A61" s="323" t="s">
        <v>812</v>
      </c>
      <c r="B61" s="324" t="s">
        <v>270</v>
      </c>
      <c r="C61" s="325">
        <v>6569836.1299999999</v>
      </c>
      <c r="D61" s="325">
        <v>6569836.1299999999</v>
      </c>
      <c r="E61" s="325">
        <v>6569836.1299999999</v>
      </c>
      <c r="F61" s="325">
        <v>6569836.1299999999</v>
      </c>
      <c r="G61" s="325">
        <v>0</v>
      </c>
      <c r="H61" s="325">
        <v>0</v>
      </c>
      <c r="I61" s="326">
        <v>1</v>
      </c>
      <c r="J61" s="325">
        <v>0</v>
      </c>
      <c r="K61" s="326">
        <v>1</v>
      </c>
      <c r="L61" s="319"/>
    </row>
    <row r="62" spans="1:12" ht="25.5" outlineLevel="3" x14ac:dyDescent="0.25">
      <c r="A62" s="323" t="s">
        <v>813</v>
      </c>
      <c r="B62" s="324" t="s">
        <v>836</v>
      </c>
      <c r="C62" s="325">
        <v>1143965</v>
      </c>
      <c r="D62" s="325">
        <v>1143965</v>
      </c>
      <c r="E62" s="325">
        <v>1143965</v>
      </c>
      <c r="F62" s="325">
        <v>1143965</v>
      </c>
      <c r="G62" s="325">
        <v>0</v>
      </c>
      <c r="H62" s="325">
        <v>0</v>
      </c>
      <c r="I62" s="326">
        <v>1</v>
      </c>
      <c r="J62" s="325">
        <v>0</v>
      </c>
      <c r="K62" s="326">
        <v>1</v>
      </c>
      <c r="L62" s="319"/>
    </row>
    <row r="63" spans="1:12" ht="25.5" outlineLevel="2" x14ac:dyDescent="0.25">
      <c r="A63" s="323" t="s">
        <v>837</v>
      </c>
      <c r="B63" s="324" t="s">
        <v>838</v>
      </c>
      <c r="C63" s="325">
        <v>13663648.9</v>
      </c>
      <c r="D63" s="325">
        <v>13663648.9</v>
      </c>
      <c r="E63" s="325">
        <v>13662914.140000001</v>
      </c>
      <c r="F63" s="325">
        <v>13662914.140000001</v>
      </c>
      <c r="G63" s="325">
        <v>0</v>
      </c>
      <c r="H63" s="325">
        <v>734.76</v>
      </c>
      <c r="I63" s="326">
        <v>0.99994622519903886</v>
      </c>
      <c r="J63" s="325">
        <v>734.76</v>
      </c>
      <c r="K63" s="326">
        <v>0.99994622519903886</v>
      </c>
      <c r="L63" s="319"/>
    </row>
    <row r="64" spans="1:12" ht="25.5" outlineLevel="3" x14ac:dyDescent="0.25">
      <c r="A64" s="323" t="s">
        <v>839</v>
      </c>
      <c r="B64" s="324" t="s">
        <v>273</v>
      </c>
      <c r="C64" s="325">
        <v>13663648.9</v>
      </c>
      <c r="D64" s="325">
        <v>13663648.9</v>
      </c>
      <c r="E64" s="325">
        <v>13662914.140000001</v>
      </c>
      <c r="F64" s="325">
        <v>13662914.140000001</v>
      </c>
      <c r="G64" s="325">
        <v>0</v>
      </c>
      <c r="H64" s="325">
        <v>734.76</v>
      </c>
      <c r="I64" s="326">
        <v>0.99994622519903886</v>
      </c>
      <c r="J64" s="325">
        <v>734.76</v>
      </c>
      <c r="K64" s="326">
        <v>0.99994622519903886</v>
      </c>
      <c r="L64" s="319"/>
    </row>
    <row r="65" spans="1:12" ht="25.5" outlineLevel="1" x14ac:dyDescent="0.25">
      <c r="A65" s="323" t="s">
        <v>840</v>
      </c>
      <c r="B65" s="324" t="s">
        <v>841</v>
      </c>
      <c r="C65" s="325">
        <v>62513620.340000004</v>
      </c>
      <c r="D65" s="325">
        <v>62513620.340000004</v>
      </c>
      <c r="E65" s="325">
        <v>61336162.740000002</v>
      </c>
      <c r="F65" s="325">
        <v>61322175.310000002</v>
      </c>
      <c r="G65" s="325">
        <v>13987.43</v>
      </c>
      <c r="H65" s="325">
        <v>1177457.6000000001</v>
      </c>
      <c r="I65" s="326">
        <v>0.98116478307293631</v>
      </c>
      <c r="J65" s="325">
        <v>1191445.03</v>
      </c>
      <c r="K65" s="326">
        <v>0.98094103295377955</v>
      </c>
      <c r="L65" s="319"/>
    </row>
    <row r="66" spans="1:12" ht="51" outlineLevel="2" x14ac:dyDescent="0.25">
      <c r="A66" s="323" t="s">
        <v>842</v>
      </c>
      <c r="B66" s="324" t="s">
        <v>843</v>
      </c>
      <c r="C66" s="325">
        <v>19028854.399999999</v>
      </c>
      <c r="D66" s="325">
        <v>19028854.399999999</v>
      </c>
      <c r="E66" s="325">
        <v>19024579.32</v>
      </c>
      <c r="F66" s="325">
        <v>19024579.32</v>
      </c>
      <c r="G66" s="325">
        <v>0</v>
      </c>
      <c r="H66" s="325">
        <v>4275.08</v>
      </c>
      <c r="I66" s="326">
        <v>0.99977533697456844</v>
      </c>
      <c r="J66" s="325">
        <v>4275.08</v>
      </c>
      <c r="K66" s="326">
        <v>0.99977533697456844</v>
      </c>
      <c r="L66" s="319"/>
    </row>
    <row r="67" spans="1:12" ht="38.25" outlineLevel="3" x14ac:dyDescent="0.25">
      <c r="A67" s="323" t="s">
        <v>844</v>
      </c>
      <c r="B67" s="324" t="s">
        <v>277</v>
      </c>
      <c r="C67" s="325">
        <v>18637838.870000001</v>
      </c>
      <c r="D67" s="325">
        <v>18637838.870000001</v>
      </c>
      <c r="E67" s="325">
        <v>18637838.870000001</v>
      </c>
      <c r="F67" s="325">
        <v>18637838.870000001</v>
      </c>
      <c r="G67" s="325">
        <v>0</v>
      </c>
      <c r="H67" s="325">
        <v>0</v>
      </c>
      <c r="I67" s="326">
        <v>1</v>
      </c>
      <c r="J67" s="325">
        <v>0</v>
      </c>
      <c r="K67" s="326">
        <v>1</v>
      </c>
      <c r="L67" s="319"/>
    </row>
    <row r="68" spans="1:12" ht="38.25" outlineLevel="3" x14ac:dyDescent="0.25">
      <c r="A68" s="323" t="s">
        <v>845</v>
      </c>
      <c r="B68" s="324" t="s">
        <v>279</v>
      </c>
      <c r="C68" s="325">
        <v>91162</v>
      </c>
      <c r="D68" s="325">
        <v>91162</v>
      </c>
      <c r="E68" s="325">
        <v>91162</v>
      </c>
      <c r="F68" s="325">
        <v>91162</v>
      </c>
      <c r="G68" s="325">
        <v>0</v>
      </c>
      <c r="H68" s="325">
        <v>0</v>
      </c>
      <c r="I68" s="326">
        <v>1</v>
      </c>
      <c r="J68" s="325">
        <v>0</v>
      </c>
      <c r="K68" s="326">
        <v>1</v>
      </c>
      <c r="L68" s="319"/>
    </row>
    <row r="69" spans="1:12" ht="63.75" outlineLevel="3" x14ac:dyDescent="0.25">
      <c r="A69" s="323" t="s">
        <v>846</v>
      </c>
      <c r="B69" s="324" t="s">
        <v>281</v>
      </c>
      <c r="C69" s="325">
        <v>37545.08</v>
      </c>
      <c r="D69" s="325">
        <v>37545.08</v>
      </c>
      <c r="E69" s="325">
        <v>33270</v>
      </c>
      <c r="F69" s="325">
        <v>33270</v>
      </c>
      <c r="G69" s="325">
        <v>0</v>
      </c>
      <c r="H69" s="325">
        <v>4275.08</v>
      </c>
      <c r="I69" s="326">
        <v>0.8861347478817464</v>
      </c>
      <c r="J69" s="325">
        <v>4275.08</v>
      </c>
      <c r="K69" s="326">
        <v>0.8861347478817464</v>
      </c>
      <c r="L69" s="319"/>
    </row>
    <row r="70" spans="1:12" ht="76.5" outlineLevel="3" x14ac:dyDescent="0.25">
      <c r="A70" s="323" t="s">
        <v>800</v>
      </c>
      <c r="B70" s="324" t="s">
        <v>282</v>
      </c>
      <c r="C70" s="325">
        <v>262308.45</v>
      </c>
      <c r="D70" s="325">
        <v>262308.45</v>
      </c>
      <c r="E70" s="325">
        <v>262308.45</v>
      </c>
      <c r="F70" s="325">
        <v>262308.45</v>
      </c>
      <c r="G70" s="325">
        <v>0</v>
      </c>
      <c r="H70" s="325">
        <v>0</v>
      </c>
      <c r="I70" s="326">
        <v>1</v>
      </c>
      <c r="J70" s="325">
        <v>0</v>
      </c>
      <c r="K70" s="326">
        <v>1</v>
      </c>
      <c r="L70" s="319"/>
    </row>
    <row r="71" spans="1:12" ht="63.75" outlineLevel="3" x14ac:dyDescent="0.25">
      <c r="A71" s="323" t="s">
        <v>803</v>
      </c>
      <c r="B71" s="324" t="s">
        <v>847</v>
      </c>
      <c r="C71" s="325">
        <v>0</v>
      </c>
      <c r="D71" s="325">
        <v>0</v>
      </c>
      <c r="E71" s="325">
        <v>0</v>
      </c>
      <c r="F71" s="325">
        <v>0</v>
      </c>
      <c r="G71" s="325">
        <v>0</v>
      </c>
      <c r="H71" s="325">
        <v>0</v>
      </c>
      <c r="I71" s="326">
        <v>0</v>
      </c>
      <c r="J71" s="325">
        <v>0</v>
      </c>
      <c r="K71" s="326">
        <v>0</v>
      </c>
      <c r="L71" s="319"/>
    </row>
    <row r="72" spans="1:12" ht="25.5" outlineLevel="2" x14ac:dyDescent="0.25">
      <c r="A72" s="323" t="s">
        <v>848</v>
      </c>
      <c r="B72" s="324" t="s">
        <v>849</v>
      </c>
      <c r="C72" s="325">
        <v>43484765.939999998</v>
      </c>
      <c r="D72" s="325">
        <v>43484765.939999998</v>
      </c>
      <c r="E72" s="325">
        <v>42311583.420000002</v>
      </c>
      <c r="F72" s="325">
        <v>42297595.990000002</v>
      </c>
      <c r="G72" s="325">
        <v>13987.43</v>
      </c>
      <c r="H72" s="325">
        <v>1173182.52</v>
      </c>
      <c r="I72" s="326">
        <v>0.97302083857094346</v>
      </c>
      <c r="J72" s="325">
        <v>1187169.95</v>
      </c>
      <c r="K72" s="326">
        <v>0.97269917580703902</v>
      </c>
      <c r="L72" s="319"/>
    </row>
    <row r="73" spans="1:12" ht="89.25" outlineLevel="3" x14ac:dyDescent="0.25">
      <c r="A73" s="323" t="s">
        <v>850</v>
      </c>
      <c r="B73" s="324" t="s">
        <v>285</v>
      </c>
      <c r="C73" s="325">
        <v>1439100</v>
      </c>
      <c r="D73" s="325">
        <v>1439100</v>
      </c>
      <c r="E73" s="325">
        <v>1256486.99</v>
      </c>
      <c r="F73" s="325">
        <v>1242499.56</v>
      </c>
      <c r="G73" s="325">
        <v>13987.43</v>
      </c>
      <c r="H73" s="325">
        <v>182613.01</v>
      </c>
      <c r="I73" s="326">
        <v>0.87310610103536934</v>
      </c>
      <c r="J73" s="325">
        <v>196600.44</v>
      </c>
      <c r="K73" s="326">
        <v>0.86338653324994785</v>
      </c>
      <c r="L73" s="319"/>
    </row>
    <row r="74" spans="1:12" ht="102" outlineLevel="3" x14ac:dyDescent="0.25">
      <c r="A74" s="323" t="s">
        <v>851</v>
      </c>
      <c r="B74" s="324" t="s">
        <v>287</v>
      </c>
      <c r="C74" s="325">
        <v>22000</v>
      </c>
      <c r="D74" s="325">
        <v>22000</v>
      </c>
      <c r="E74" s="325">
        <v>22000</v>
      </c>
      <c r="F74" s="325">
        <v>22000</v>
      </c>
      <c r="G74" s="325">
        <v>0</v>
      </c>
      <c r="H74" s="325">
        <v>0</v>
      </c>
      <c r="I74" s="326">
        <v>1</v>
      </c>
      <c r="J74" s="325">
        <v>0</v>
      </c>
      <c r="K74" s="326">
        <v>1</v>
      </c>
      <c r="L74" s="319"/>
    </row>
    <row r="75" spans="1:12" ht="178.5" outlineLevel="3" x14ac:dyDescent="0.25">
      <c r="A75" s="323" t="s">
        <v>852</v>
      </c>
      <c r="B75" s="324" t="s">
        <v>289</v>
      </c>
      <c r="C75" s="325">
        <v>85565.94</v>
      </c>
      <c r="D75" s="325">
        <v>85565.94</v>
      </c>
      <c r="E75" s="325">
        <v>0</v>
      </c>
      <c r="F75" s="325">
        <v>0</v>
      </c>
      <c r="G75" s="325">
        <v>0</v>
      </c>
      <c r="H75" s="325">
        <v>85565.94</v>
      </c>
      <c r="I75" s="326">
        <v>0</v>
      </c>
      <c r="J75" s="325">
        <v>85565.94</v>
      </c>
      <c r="K75" s="326">
        <v>0</v>
      </c>
      <c r="L75" s="319"/>
    </row>
    <row r="76" spans="1:12" ht="178.5" outlineLevel="3" x14ac:dyDescent="0.25">
      <c r="A76" s="323" t="s">
        <v>853</v>
      </c>
      <c r="B76" s="324" t="s">
        <v>291</v>
      </c>
      <c r="C76" s="325">
        <v>305000</v>
      </c>
      <c r="D76" s="325">
        <v>305000</v>
      </c>
      <c r="E76" s="325">
        <v>295000</v>
      </c>
      <c r="F76" s="325">
        <v>295000</v>
      </c>
      <c r="G76" s="325">
        <v>0</v>
      </c>
      <c r="H76" s="325">
        <v>10000</v>
      </c>
      <c r="I76" s="326">
        <v>0.96721311475409832</v>
      </c>
      <c r="J76" s="325">
        <v>10000</v>
      </c>
      <c r="K76" s="326">
        <v>0.96721311475409832</v>
      </c>
      <c r="L76" s="319"/>
    </row>
    <row r="77" spans="1:12" ht="63.75" outlineLevel="3" x14ac:dyDescent="0.25">
      <c r="A77" s="323" t="s">
        <v>854</v>
      </c>
      <c r="B77" s="324" t="s">
        <v>293</v>
      </c>
      <c r="C77" s="325">
        <v>33595600</v>
      </c>
      <c r="D77" s="325">
        <v>33595600</v>
      </c>
      <c r="E77" s="325">
        <v>32923463.170000002</v>
      </c>
      <c r="F77" s="325">
        <v>32923463.170000002</v>
      </c>
      <c r="G77" s="325">
        <v>0</v>
      </c>
      <c r="H77" s="325">
        <v>672136.83</v>
      </c>
      <c r="I77" s="326">
        <v>0.97999330775458693</v>
      </c>
      <c r="J77" s="325">
        <v>672136.83</v>
      </c>
      <c r="K77" s="326">
        <v>0.97999330775458693</v>
      </c>
      <c r="L77" s="319"/>
    </row>
    <row r="78" spans="1:12" ht="114.75" outlineLevel="3" x14ac:dyDescent="0.25">
      <c r="A78" s="323" t="s">
        <v>855</v>
      </c>
      <c r="B78" s="324" t="s">
        <v>295</v>
      </c>
      <c r="C78" s="325">
        <v>519500</v>
      </c>
      <c r="D78" s="325">
        <v>519500</v>
      </c>
      <c r="E78" s="325">
        <v>464755.22</v>
      </c>
      <c r="F78" s="325">
        <v>464755.22</v>
      </c>
      <c r="G78" s="325">
        <v>0</v>
      </c>
      <c r="H78" s="325">
        <v>54744.78</v>
      </c>
      <c r="I78" s="326">
        <v>0.89462025024061598</v>
      </c>
      <c r="J78" s="325">
        <v>54744.78</v>
      </c>
      <c r="K78" s="326">
        <v>0.89462025024061598</v>
      </c>
      <c r="L78" s="319"/>
    </row>
    <row r="79" spans="1:12" ht="127.5" outlineLevel="3" x14ac:dyDescent="0.25">
      <c r="A79" s="323" t="s">
        <v>856</v>
      </c>
      <c r="B79" s="324" t="s">
        <v>297</v>
      </c>
      <c r="C79" s="325">
        <v>7518000</v>
      </c>
      <c r="D79" s="325">
        <v>7518000</v>
      </c>
      <c r="E79" s="325">
        <v>7349878.04</v>
      </c>
      <c r="F79" s="325">
        <v>7349878.04</v>
      </c>
      <c r="G79" s="325">
        <v>0</v>
      </c>
      <c r="H79" s="325">
        <v>168121.96</v>
      </c>
      <c r="I79" s="326">
        <v>0.9776374088853419</v>
      </c>
      <c r="J79" s="325">
        <v>168121.96</v>
      </c>
      <c r="K79" s="326">
        <v>0.9776374088853419</v>
      </c>
      <c r="L79" s="319"/>
    </row>
    <row r="80" spans="1:12" ht="25.5" outlineLevel="1" x14ac:dyDescent="0.25">
      <c r="A80" s="323" t="s">
        <v>857</v>
      </c>
      <c r="B80" s="324" t="s">
        <v>858</v>
      </c>
      <c r="C80" s="325">
        <v>177249653.69</v>
      </c>
      <c r="D80" s="325">
        <v>177249653.69</v>
      </c>
      <c r="E80" s="325">
        <v>171670590.55000001</v>
      </c>
      <c r="F80" s="325">
        <v>168340185.21000001</v>
      </c>
      <c r="G80" s="325">
        <v>3330405.34</v>
      </c>
      <c r="H80" s="325">
        <v>5579063.1399999997</v>
      </c>
      <c r="I80" s="326">
        <v>0.96852426493448907</v>
      </c>
      <c r="J80" s="325">
        <v>8909468.4800000004</v>
      </c>
      <c r="K80" s="326">
        <v>0.94973491742002403</v>
      </c>
      <c r="L80" s="319"/>
    </row>
    <row r="81" spans="1:12" ht="51" outlineLevel="2" x14ac:dyDescent="0.25">
      <c r="A81" s="323" t="s">
        <v>859</v>
      </c>
      <c r="B81" s="324" t="s">
        <v>860</v>
      </c>
      <c r="C81" s="325">
        <v>21566315.93</v>
      </c>
      <c r="D81" s="325">
        <v>21566315.93</v>
      </c>
      <c r="E81" s="325">
        <v>21566315.93</v>
      </c>
      <c r="F81" s="325">
        <v>21566315.93</v>
      </c>
      <c r="G81" s="325">
        <v>0</v>
      </c>
      <c r="H81" s="325">
        <v>0</v>
      </c>
      <c r="I81" s="326">
        <v>1</v>
      </c>
      <c r="J81" s="325">
        <v>0</v>
      </c>
      <c r="K81" s="326">
        <v>1</v>
      </c>
      <c r="L81" s="319"/>
    </row>
    <row r="82" spans="1:12" ht="51" outlineLevel="3" x14ac:dyDescent="0.25">
      <c r="A82" s="323" t="s">
        <v>799</v>
      </c>
      <c r="B82" s="324" t="s">
        <v>300</v>
      </c>
      <c r="C82" s="325">
        <v>21051928.300000001</v>
      </c>
      <c r="D82" s="325">
        <v>21051928.300000001</v>
      </c>
      <c r="E82" s="325">
        <v>21051928.300000001</v>
      </c>
      <c r="F82" s="325">
        <v>21051928.300000001</v>
      </c>
      <c r="G82" s="325">
        <v>0</v>
      </c>
      <c r="H82" s="325">
        <v>0</v>
      </c>
      <c r="I82" s="326">
        <v>1</v>
      </c>
      <c r="J82" s="325">
        <v>0</v>
      </c>
      <c r="K82" s="326">
        <v>1</v>
      </c>
      <c r="L82" s="319"/>
    </row>
    <row r="83" spans="1:12" ht="76.5" outlineLevel="3" x14ac:dyDescent="0.25">
      <c r="A83" s="323" t="s">
        <v>800</v>
      </c>
      <c r="B83" s="324" t="s">
        <v>301</v>
      </c>
      <c r="C83" s="325">
        <v>391676.34</v>
      </c>
      <c r="D83" s="325">
        <v>391676.34</v>
      </c>
      <c r="E83" s="325">
        <v>391676.34</v>
      </c>
      <c r="F83" s="325">
        <v>391676.34</v>
      </c>
      <c r="G83" s="325">
        <v>0</v>
      </c>
      <c r="H83" s="325">
        <v>0</v>
      </c>
      <c r="I83" s="326">
        <v>1</v>
      </c>
      <c r="J83" s="325">
        <v>0</v>
      </c>
      <c r="K83" s="326">
        <v>1</v>
      </c>
      <c r="L83" s="319"/>
    </row>
    <row r="84" spans="1:12" ht="63.75" outlineLevel="3" x14ac:dyDescent="0.25">
      <c r="A84" s="323" t="s">
        <v>803</v>
      </c>
      <c r="B84" s="324" t="s">
        <v>302</v>
      </c>
      <c r="C84" s="325">
        <v>75000</v>
      </c>
      <c r="D84" s="325">
        <v>75000</v>
      </c>
      <c r="E84" s="325">
        <v>75000</v>
      </c>
      <c r="F84" s="325">
        <v>75000</v>
      </c>
      <c r="G84" s="325">
        <v>0</v>
      </c>
      <c r="H84" s="325">
        <v>0</v>
      </c>
      <c r="I84" s="326">
        <v>1</v>
      </c>
      <c r="J84" s="325">
        <v>0</v>
      </c>
      <c r="K84" s="326">
        <v>1</v>
      </c>
      <c r="L84" s="319"/>
    </row>
    <row r="85" spans="1:12" ht="89.25" outlineLevel="3" x14ac:dyDescent="0.25">
      <c r="A85" s="323" t="s">
        <v>804</v>
      </c>
      <c r="B85" s="324" t="s">
        <v>303</v>
      </c>
      <c r="C85" s="325">
        <v>30933.72</v>
      </c>
      <c r="D85" s="325">
        <v>30933.72</v>
      </c>
      <c r="E85" s="325">
        <v>30933.72</v>
      </c>
      <c r="F85" s="325">
        <v>30933.72</v>
      </c>
      <c r="G85" s="325">
        <v>0</v>
      </c>
      <c r="H85" s="325">
        <v>0</v>
      </c>
      <c r="I85" s="326">
        <v>1</v>
      </c>
      <c r="J85" s="325">
        <v>0</v>
      </c>
      <c r="K85" s="326">
        <v>1</v>
      </c>
      <c r="L85" s="319"/>
    </row>
    <row r="86" spans="1:12" ht="102" outlineLevel="3" x14ac:dyDescent="0.25">
      <c r="A86" s="323" t="s">
        <v>808</v>
      </c>
      <c r="B86" s="324" t="s">
        <v>304</v>
      </c>
      <c r="C86" s="325">
        <v>2508.14</v>
      </c>
      <c r="D86" s="325">
        <v>2508.14</v>
      </c>
      <c r="E86" s="325">
        <v>2508.14</v>
      </c>
      <c r="F86" s="325">
        <v>2508.14</v>
      </c>
      <c r="G86" s="325">
        <v>0</v>
      </c>
      <c r="H86" s="325">
        <v>0</v>
      </c>
      <c r="I86" s="326">
        <v>1</v>
      </c>
      <c r="J86" s="325">
        <v>0</v>
      </c>
      <c r="K86" s="326">
        <v>1</v>
      </c>
      <c r="L86" s="319"/>
    </row>
    <row r="87" spans="1:12" ht="140.25" outlineLevel="3" x14ac:dyDescent="0.25">
      <c r="A87" s="323" t="s">
        <v>809</v>
      </c>
      <c r="B87" s="324" t="s">
        <v>305</v>
      </c>
      <c r="C87" s="325">
        <v>14269.43</v>
      </c>
      <c r="D87" s="325">
        <v>14269.43</v>
      </c>
      <c r="E87" s="325">
        <v>14269.43</v>
      </c>
      <c r="F87" s="325">
        <v>14269.43</v>
      </c>
      <c r="G87" s="325">
        <v>0</v>
      </c>
      <c r="H87" s="325">
        <v>0</v>
      </c>
      <c r="I87" s="326">
        <v>1</v>
      </c>
      <c r="J87" s="325">
        <v>0</v>
      </c>
      <c r="K87" s="326">
        <v>1</v>
      </c>
      <c r="L87" s="319"/>
    </row>
    <row r="88" spans="1:12" ht="63.75" outlineLevel="2" x14ac:dyDescent="0.25">
      <c r="A88" s="323" t="s">
        <v>861</v>
      </c>
      <c r="B88" s="324" t="s">
        <v>862</v>
      </c>
      <c r="C88" s="325">
        <v>51208044.75</v>
      </c>
      <c r="D88" s="325">
        <v>51208044.75</v>
      </c>
      <c r="E88" s="325">
        <v>51208044.75</v>
      </c>
      <c r="F88" s="325">
        <v>51208044.75</v>
      </c>
      <c r="G88" s="325">
        <v>0</v>
      </c>
      <c r="H88" s="325">
        <v>0</v>
      </c>
      <c r="I88" s="326">
        <v>1</v>
      </c>
      <c r="J88" s="325">
        <v>0</v>
      </c>
      <c r="K88" s="326">
        <v>1</v>
      </c>
      <c r="L88" s="319"/>
    </row>
    <row r="89" spans="1:12" ht="51" outlineLevel="3" x14ac:dyDescent="0.25">
      <c r="A89" s="323" t="s">
        <v>799</v>
      </c>
      <c r="B89" s="324" t="s">
        <v>307</v>
      </c>
      <c r="C89" s="325">
        <v>50238522.899999999</v>
      </c>
      <c r="D89" s="325">
        <v>50238522.899999999</v>
      </c>
      <c r="E89" s="325">
        <v>50238522.899999999</v>
      </c>
      <c r="F89" s="325">
        <v>50238522.899999999</v>
      </c>
      <c r="G89" s="325">
        <v>0</v>
      </c>
      <c r="H89" s="325">
        <v>0</v>
      </c>
      <c r="I89" s="326">
        <v>1</v>
      </c>
      <c r="J89" s="325">
        <v>0</v>
      </c>
      <c r="K89" s="326">
        <v>1</v>
      </c>
      <c r="L89" s="319"/>
    </row>
    <row r="90" spans="1:12" ht="76.5" outlineLevel="3" x14ac:dyDescent="0.25">
      <c r="A90" s="323" t="s">
        <v>800</v>
      </c>
      <c r="B90" s="324" t="s">
        <v>310</v>
      </c>
      <c r="C90" s="325">
        <v>827021.85</v>
      </c>
      <c r="D90" s="325">
        <v>827021.85</v>
      </c>
      <c r="E90" s="325">
        <v>827021.85</v>
      </c>
      <c r="F90" s="325">
        <v>827021.85</v>
      </c>
      <c r="G90" s="325">
        <v>0</v>
      </c>
      <c r="H90" s="325">
        <v>0</v>
      </c>
      <c r="I90" s="326">
        <v>1</v>
      </c>
      <c r="J90" s="325">
        <v>0</v>
      </c>
      <c r="K90" s="326">
        <v>1</v>
      </c>
      <c r="L90" s="319"/>
    </row>
    <row r="91" spans="1:12" ht="25.5" outlineLevel="3" x14ac:dyDescent="0.25">
      <c r="A91" s="323" t="s">
        <v>813</v>
      </c>
      <c r="B91" s="324" t="s">
        <v>311</v>
      </c>
      <c r="C91" s="325">
        <v>142500</v>
      </c>
      <c r="D91" s="325">
        <v>142500</v>
      </c>
      <c r="E91" s="325">
        <v>142500</v>
      </c>
      <c r="F91" s="325">
        <v>142500</v>
      </c>
      <c r="G91" s="325">
        <v>0</v>
      </c>
      <c r="H91" s="325">
        <v>0</v>
      </c>
      <c r="I91" s="326">
        <v>1</v>
      </c>
      <c r="J91" s="325">
        <v>0</v>
      </c>
      <c r="K91" s="326">
        <v>1</v>
      </c>
      <c r="L91" s="319"/>
    </row>
    <row r="92" spans="1:12" ht="51" outlineLevel="2" x14ac:dyDescent="0.25">
      <c r="A92" s="323" t="s">
        <v>863</v>
      </c>
      <c r="B92" s="324" t="s">
        <v>864</v>
      </c>
      <c r="C92" s="325">
        <v>94884678.890000001</v>
      </c>
      <c r="D92" s="325">
        <v>94884678.890000001</v>
      </c>
      <c r="E92" s="325">
        <v>89305615.75</v>
      </c>
      <c r="F92" s="325">
        <v>87167986.409999996</v>
      </c>
      <c r="G92" s="325">
        <v>2137629.34</v>
      </c>
      <c r="H92" s="325">
        <v>5579063.1399999997</v>
      </c>
      <c r="I92" s="326">
        <v>0.94120164387690219</v>
      </c>
      <c r="J92" s="325">
        <v>7716692.4800000004</v>
      </c>
      <c r="K92" s="326">
        <v>0.91867293465843969</v>
      </c>
      <c r="L92" s="319"/>
    </row>
    <row r="93" spans="1:12" ht="51" outlineLevel="3" x14ac:dyDescent="0.25">
      <c r="A93" s="323" t="s">
        <v>799</v>
      </c>
      <c r="B93" s="324" t="s">
        <v>313</v>
      </c>
      <c r="C93" s="325">
        <v>28456848.719999999</v>
      </c>
      <c r="D93" s="325">
        <v>28456848.719999999</v>
      </c>
      <c r="E93" s="325">
        <v>28456848.719999999</v>
      </c>
      <c r="F93" s="325">
        <v>28456848.719999999</v>
      </c>
      <c r="G93" s="325">
        <v>0</v>
      </c>
      <c r="H93" s="325">
        <v>0</v>
      </c>
      <c r="I93" s="326">
        <v>1</v>
      </c>
      <c r="J93" s="325">
        <v>0</v>
      </c>
      <c r="K93" s="326">
        <v>1</v>
      </c>
      <c r="L93" s="319"/>
    </row>
    <row r="94" spans="1:12" ht="76.5" outlineLevel="3" x14ac:dyDescent="0.25">
      <c r="A94" s="323" t="s">
        <v>800</v>
      </c>
      <c r="B94" s="324" t="s">
        <v>314</v>
      </c>
      <c r="C94" s="325">
        <v>729183.05</v>
      </c>
      <c r="D94" s="325">
        <v>729183.05</v>
      </c>
      <c r="E94" s="325">
        <v>729183.05</v>
      </c>
      <c r="F94" s="325">
        <v>727784.11</v>
      </c>
      <c r="G94" s="325">
        <v>1398.94</v>
      </c>
      <c r="H94" s="325">
        <v>0</v>
      </c>
      <c r="I94" s="326">
        <v>1</v>
      </c>
      <c r="J94" s="325">
        <v>1398.94</v>
      </c>
      <c r="K94" s="326">
        <v>0.99808149682031144</v>
      </c>
      <c r="L94" s="319"/>
    </row>
    <row r="95" spans="1:12" ht="25.5" outlineLevel="3" x14ac:dyDescent="0.25">
      <c r="A95" s="323" t="s">
        <v>813</v>
      </c>
      <c r="B95" s="324" t="s">
        <v>865</v>
      </c>
      <c r="C95" s="325">
        <v>1238974.99</v>
      </c>
      <c r="D95" s="325">
        <v>1238974.99</v>
      </c>
      <c r="E95" s="325">
        <v>1238974.99</v>
      </c>
      <c r="F95" s="325">
        <v>1238974.99</v>
      </c>
      <c r="G95" s="325">
        <v>0</v>
      </c>
      <c r="H95" s="325">
        <v>0</v>
      </c>
      <c r="I95" s="326">
        <v>1</v>
      </c>
      <c r="J95" s="325">
        <v>0</v>
      </c>
      <c r="K95" s="326">
        <v>1</v>
      </c>
      <c r="L95" s="319"/>
    </row>
    <row r="96" spans="1:12" ht="102" outlineLevel="3" x14ac:dyDescent="0.25">
      <c r="A96" s="323" t="s">
        <v>866</v>
      </c>
      <c r="B96" s="324" t="s">
        <v>316</v>
      </c>
      <c r="C96" s="325">
        <v>1975500</v>
      </c>
      <c r="D96" s="325">
        <v>1975500</v>
      </c>
      <c r="E96" s="325">
        <v>1715297.85</v>
      </c>
      <c r="F96" s="325">
        <v>1689371.64</v>
      </c>
      <c r="G96" s="325">
        <v>25926.21</v>
      </c>
      <c r="H96" s="325">
        <v>260202.15</v>
      </c>
      <c r="I96" s="326">
        <v>0.8682854214123007</v>
      </c>
      <c r="J96" s="325">
        <v>286128.36</v>
      </c>
      <c r="K96" s="326">
        <v>0.85516154897494301</v>
      </c>
      <c r="L96" s="319"/>
    </row>
    <row r="97" spans="1:12" ht="89.25" outlineLevel="3" x14ac:dyDescent="0.25">
      <c r="A97" s="323" t="s">
        <v>804</v>
      </c>
      <c r="B97" s="324" t="s">
        <v>317</v>
      </c>
      <c r="C97" s="325">
        <v>3428533.54</v>
      </c>
      <c r="D97" s="325">
        <v>3428533.54</v>
      </c>
      <c r="E97" s="325">
        <v>3428533.54</v>
      </c>
      <c r="F97" s="325">
        <v>3428533.54</v>
      </c>
      <c r="G97" s="325">
        <v>0</v>
      </c>
      <c r="H97" s="325">
        <v>0</v>
      </c>
      <c r="I97" s="326">
        <v>1</v>
      </c>
      <c r="J97" s="325">
        <v>0</v>
      </c>
      <c r="K97" s="326">
        <v>1</v>
      </c>
      <c r="L97" s="319"/>
    </row>
    <row r="98" spans="1:12" ht="102" outlineLevel="3" x14ac:dyDescent="0.25">
      <c r="A98" s="323" t="s">
        <v>867</v>
      </c>
      <c r="B98" s="324" t="s">
        <v>319</v>
      </c>
      <c r="C98" s="325">
        <v>4457400</v>
      </c>
      <c r="D98" s="325">
        <v>4457400</v>
      </c>
      <c r="E98" s="325">
        <v>4273722.3</v>
      </c>
      <c r="F98" s="325">
        <v>4273722.3</v>
      </c>
      <c r="G98" s="325">
        <v>0</v>
      </c>
      <c r="H98" s="325">
        <v>183677.7</v>
      </c>
      <c r="I98" s="326">
        <v>0.95879263696325212</v>
      </c>
      <c r="J98" s="325">
        <v>183677.7</v>
      </c>
      <c r="K98" s="326">
        <v>0.95879263696325212</v>
      </c>
      <c r="L98" s="319"/>
    </row>
    <row r="99" spans="1:12" ht="38.25" outlineLevel="3" x14ac:dyDescent="0.25">
      <c r="A99" s="323" t="s">
        <v>868</v>
      </c>
      <c r="B99" s="324" t="s">
        <v>321</v>
      </c>
      <c r="C99" s="325">
        <v>13418600</v>
      </c>
      <c r="D99" s="325">
        <v>13418600</v>
      </c>
      <c r="E99" s="325">
        <v>13007086.24</v>
      </c>
      <c r="F99" s="325">
        <v>11195652</v>
      </c>
      <c r="G99" s="325">
        <v>1811434.24</v>
      </c>
      <c r="H99" s="325">
        <v>411513.76</v>
      </c>
      <c r="I99" s="326">
        <v>0.96933258611181494</v>
      </c>
      <c r="J99" s="325">
        <v>2222948</v>
      </c>
      <c r="K99" s="326">
        <v>0.83433830652974228</v>
      </c>
      <c r="L99" s="319"/>
    </row>
    <row r="100" spans="1:12" ht="76.5" outlineLevel="3" x14ac:dyDescent="0.25">
      <c r="A100" s="323" t="s">
        <v>869</v>
      </c>
      <c r="B100" s="324" t="s">
        <v>323</v>
      </c>
      <c r="C100" s="325">
        <v>35829168.359999999</v>
      </c>
      <c r="D100" s="325">
        <v>35829168.359999999</v>
      </c>
      <c r="E100" s="325">
        <v>31109247.530000001</v>
      </c>
      <c r="F100" s="325">
        <v>30810377.579999998</v>
      </c>
      <c r="G100" s="325">
        <v>298869.95</v>
      </c>
      <c r="H100" s="325">
        <v>4719920.83</v>
      </c>
      <c r="I100" s="326">
        <v>0.86826596747723117</v>
      </c>
      <c r="J100" s="325">
        <v>5018790.78</v>
      </c>
      <c r="K100" s="326">
        <v>0.8599244411823127</v>
      </c>
      <c r="L100" s="319"/>
    </row>
    <row r="101" spans="1:12" ht="114.75" outlineLevel="3" x14ac:dyDescent="0.25">
      <c r="A101" s="323" t="s">
        <v>870</v>
      </c>
      <c r="B101" s="324" t="s">
        <v>325</v>
      </c>
      <c r="C101" s="325">
        <v>4450063.0999999996</v>
      </c>
      <c r="D101" s="325">
        <v>4450063.0999999996</v>
      </c>
      <c r="E101" s="325">
        <v>4450063.0999999996</v>
      </c>
      <c r="F101" s="325">
        <v>4450063.0999999996</v>
      </c>
      <c r="G101" s="325">
        <v>0</v>
      </c>
      <c r="H101" s="325">
        <v>0</v>
      </c>
      <c r="I101" s="326">
        <v>1</v>
      </c>
      <c r="J101" s="325">
        <v>0</v>
      </c>
      <c r="K101" s="326">
        <v>1</v>
      </c>
      <c r="L101" s="319"/>
    </row>
    <row r="102" spans="1:12" ht="102" outlineLevel="3" x14ac:dyDescent="0.25">
      <c r="A102" s="323" t="s">
        <v>808</v>
      </c>
      <c r="B102" s="324" t="s">
        <v>326</v>
      </c>
      <c r="C102" s="325">
        <v>277989.21000000002</v>
      </c>
      <c r="D102" s="325">
        <v>277989.21000000002</v>
      </c>
      <c r="E102" s="325">
        <v>277989.21000000002</v>
      </c>
      <c r="F102" s="325">
        <v>277989.21000000002</v>
      </c>
      <c r="G102" s="325">
        <v>0</v>
      </c>
      <c r="H102" s="325">
        <v>0</v>
      </c>
      <c r="I102" s="326">
        <v>1</v>
      </c>
      <c r="J102" s="325">
        <v>0</v>
      </c>
      <c r="K102" s="326">
        <v>1</v>
      </c>
      <c r="L102" s="319"/>
    </row>
    <row r="103" spans="1:12" ht="114.75" outlineLevel="3" x14ac:dyDescent="0.25">
      <c r="A103" s="323" t="s">
        <v>871</v>
      </c>
      <c r="B103" s="324" t="s">
        <v>328</v>
      </c>
      <c r="C103" s="325">
        <v>90967.52</v>
      </c>
      <c r="D103" s="325">
        <v>90967.52</v>
      </c>
      <c r="E103" s="325">
        <v>87218.82</v>
      </c>
      <c r="F103" s="325">
        <v>87218.82</v>
      </c>
      <c r="G103" s="325">
        <v>0</v>
      </c>
      <c r="H103" s="325">
        <v>3748.7</v>
      </c>
      <c r="I103" s="326">
        <v>0.95879078598603107</v>
      </c>
      <c r="J103" s="325">
        <v>3748.7</v>
      </c>
      <c r="K103" s="326">
        <v>0.95879078598603107</v>
      </c>
      <c r="L103" s="319"/>
    </row>
    <row r="104" spans="1:12" ht="140.25" outlineLevel="3" x14ac:dyDescent="0.25">
      <c r="A104" s="323" t="s">
        <v>809</v>
      </c>
      <c r="B104" s="324" t="s">
        <v>329</v>
      </c>
      <c r="C104" s="325">
        <v>531450.4</v>
      </c>
      <c r="D104" s="325">
        <v>531450.4</v>
      </c>
      <c r="E104" s="325">
        <v>531450.4</v>
      </c>
      <c r="F104" s="325">
        <v>531450.4</v>
      </c>
      <c r="G104" s="325">
        <v>0</v>
      </c>
      <c r="H104" s="325">
        <v>0</v>
      </c>
      <c r="I104" s="326">
        <v>1</v>
      </c>
      <c r="J104" s="325">
        <v>0</v>
      </c>
      <c r="K104" s="326">
        <v>1</v>
      </c>
      <c r="L104" s="319"/>
    </row>
    <row r="105" spans="1:12" ht="63.75" outlineLevel="2" x14ac:dyDescent="0.25">
      <c r="A105" s="323" t="s">
        <v>872</v>
      </c>
      <c r="B105" s="324" t="s">
        <v>873</v>
      </c>
      <c r="C105" s="325">
        <v>9590614.1199999992</v>
      </c>
      <c r="D105" s="325">
        <v>9590614.1199999992</v>
      </c>
      <c r="E105" s="325">
        <v>9590614.1199999992</v>
      </c>
      <c r="F105" s="325">
        <v>8397838.1199999992</v>
      </c>
      <c r="G105" s="325">
        <v>1192776</v>
      </c>
      <c r="H105" s="325">
        <v>0</v>
      </c>
      <c r="I105" s="326">
        <v>1</v>
      </c>
      <c r="J105" s="325">
        <v>1192776</v>
      </c>
      <c r="K105" s="326">
        <v>0.87563090485388018</v>
      </c>
      <c r="L105" s="319"/>
    </row>
    <row r="106" spans="1:12" ht="63.75" outlineLevel="3" x14ac:dyDescent="0.25">
      <c r="A106" s="323" t="s">
        <v>803</v>
      </c>
      <c r="B106" s="324" t="s">
        <v>331</v>
      </c>
      <c r="C106" s="325">
        <v>4500</v>
      </c>
      <c r="D106" s="325">
        <v>4500</v>
      </c>
      <c r="E106" s="325">
        <v>4500</v>
      </c>
      <c r="F106" s="325">
        <v>4500</v>
      </c>
      <c r="G106" s="325">
        <v>0</v>
      </c>
      <c r="H106" s="325">
        <v>0</v>
      </c>
      <c r="I106" s="326">
        <v>1</v>
      </c>
      <c r="J106" s="325">
        <v>0</v>
      </c>
      <c r="K106" s="326">
        <v>1</v>
      </c>
      <c r="L106" s="319"/>
    </row>
    <row r="107" spans="1:12" ht="25.5" outlineLevel="3" x14ac:dyDescent="0.25">
      <c r="A107" s="323" t="s">
        <v>813</v>
      </c>
      <c r="B107" s="324" t="s">
        <v>332</v>
      </c>
      <c r="C107" s="325">
        <v>6060815.1200000001</v>
      </c>
      <c r="D107" s="325">
        <v>6060815.1200000001</v>
      </c>
      <c r="E107" s="325">
        <v>6060815.1200000001</v>
      </c>
      <c r="F107" s="325">
        <v>6060815.1200000001</v>
      </c>
      <c r="G107" s="325">
        <v>0</v>
      </c>
      <c r="H107" s="325">
        <v>0</v>
      </c>
      <c r="I107" s="326">
        <v>1</v>
      </c>
      <c r="J107" s="325">
        <v>0</v>
      </c>
      <c r="K107" s="326">
        <v>1</v>
      </c>
      <c r="L107" s="319"/>
    </row>
    <row r="108" spans="1:12" ht="51" outlineLevel="3" x14ac:dyDescent="0.25">
      <c r="A108" s="323" t="s">
        <v>874</v>
      </c>
      <c r="B108" s="324" t="s">
        <v>334</v>
      </c>
      <c r="C108" s="325">
        <v>3260900</v>
      </c>
      <c r="D108" s="325">
        <v>3260900</v>
      </c>
      <c r="E108" s="325">
        <v>3260900</v>
      </c>
      <c r="F108" s="325">
        <v>2068124</v>
      </c>
      <c r="G108" s="325">
        <v>1192776</v>
      </c>
      <c r="H108" s="325">
        <v>0</v>
      </c>
      <c r="I108" s="326">
        <v>1</v>
      </c>
      <c r="J108" s="325">
        <v>1192776</v>
      </c>
      <c r="K108" s="326">
        <v>0.63421877395810977</v>
      </c>
      <c r="L108" s="319"/>
    </row>
    <row r="109" spans="1:12" ht="63.75" outlineLevel="3" x14ac:dyDescent="0.25">
      <c r="A109" s="323" t="s">
        <v>875</v>
      </c>
      <c r="B109" s="324" t="s">
        <v>336</v>
      </c>
      <c r="C109" s="325">
        <v>264399</v>
      </c>
      <c r="D109" s="325">
        <v>264399</v>
      </c>
      <c r="E109" s="325">
        <v>264399</v>
      </c>
      <c r="F109" s="325">
        <v>264399</v>
      </c>
      <c r="G109" s="325">
        <v>0</v>
      </c>
      <c r="H109" s="325">
        <v>0</v>
      </c>
      <c r="I109" s="326">
        <v>1</v>
      </c>
      <c r="J109" s="325">
        <v>0</v>
      </c>
      <c r="K109" s="326">
        <v>1</v>
      </c>
      <c r="L109" s="319"/>
    </row>
    <row r="110" spans="1:12" ht="12.75" customHeight="1" x14ac:dyDescent="0.25">
      <c r="A110" s="548" t="s">
        <v>623</v>
      </c>
      <c r="B110" s="549"/>
      <c r="C110" s="327">
        <v>2071021915.1600001</v>
      </c>
      <c r="D110" s="327">
        <v>2071021915.1600001</v>
      </c>
      <c r="E110" s="327">
        <v>2060504298.24</v>
      </c>
      <c r="F110" s="327">
        <v>2057032464.5999999</v>
      </c>
      <c r="G110" s="327">
        <v>3471833.64</v>
      </c>
      <c r="H110" s="327">
        <v>10517616.92</v>
      </c>
      <c r="I110" s="328">
        <v>0.9949215327742259</v>
      </c>
      <c r="J110" s="327">
        <v>13989450.560000001</v>
      </c>
      <c r="K110" s="328">
        <v>0.99324514605200631</v>
      </c>
      <c r="L110" s="319"/>
    </row>
    <row r="111" spans="1:12" ht="12.75" customHeight="1" x14ac:dyDescent="0.25">
      <c r="A111" s="319"/>
      <c r="B111" s="319"/>
      <c r="C111" s="319"/>
      <c r="D111" s="319"/>
      <c r="E111" s="319"/>
      <c r="F111" s="319"/>
      <c r="G111" s="319"/>
      <c r="H111" s="319"/>
      <c r="I111" s="319"/>
      <c r="J111" s="319"/>
      <c r="K111" s="319"/>
      <c r="L111" s="319"/>
    </row>
    <row r="112" spans="1:12" x14ac:dyDescent="0.25">
      <c r="A112" s="550"/>
      <c r="B112" s="551"/>
      <c r="C112" s="551"/>
      <c r="D112" s="551"/>
      <c r="E112" s="551"/>
      <c r="F112" s="329"/>
      <c r="G112" s="329"/>
      <c r="H112" s="329"/>
      <c r="I112" s="329"/>
      <c r="J112" s="329"/>
      <c r="K112" s="329"/>
      <c r="L112" s="319"/>
    </row>
  </sheetData>
  <autoFilter ref="A7:L110"/>
  <mergeCells count="18">
    <mergeCell ref="I6:I7"/>
    <mergeCell ref="J6:J7"/>
    <mergeCell ref="K6:K7"/>
    <mergeCell ref="A1:C1"/>
    <mergeCell ref="A2:C2"/>
    <mergeCell ref="A3:J3"/>
    <mergeCell ref="A4:J4"/>
    <mergeCell ref="A5:K5"/>
    <mergeCell ref="A6:A7"/>
    <mergeCell ref="B6:B7"/>
    <mergeCell ref="C6:C7"/>
    <mergeCell ref="D6:D7"/>
    <mergeCell ref="E6:E7"/>
    <mergeCell ref="A110:B110"/>
    <mergeCell ref="A112:E112"/>
    <mergeCell ref="F6:F7"/>
    <mergeCell ref="G6:G7"/>
    <mergeCell ref="H6:H7"/>
  </mergeCells>
  <pageMargins left="0.59027779999999996" right="0.59027779999999996" top="0.59027779999999996" bottom="0.59027779999999996" header="0.39374999999999999" footer="0.39374999999999999"/>
  <pageSetup paperSize="9" fitToHeight="200"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N55"/>
  <sheetViews>
    <sheetView zoomScaleNormal="100" zoomScaleSheetLayoutView="80" workbookViewId="0">
      <pane xSplit="3" ySplit="7" topLeftCell="I47" activePane="bottomRight" state="frozen"/>
      <selection pane="topRight" activeCell="D1" sqref="D1"/>
      <selection pane="bottomLeft" activeCell="A8" sqref="A8"/>
      <selection pane="bottomRight" activeCell="A53" sqref="A53:XFD55"/>
    </sheetView>
  </sheetViews>
  <sheetFormatPr defaultRowHeight="15" x14ac:dyDescent="0.25"/>
  <cols>
    <col min="1" max="1" width="5.28515625" style="2" customWidth="1"/>
    <col min="2" max="2" width="53" style="2" customWidth="1"/>
    <col min="3" max="3" width="8.140625" style="2" customWidth="1"/>
    <col min="4" max="4" width="8.85546875" style="2" customWidth="1"/>
    <col min="5" max="5" width="17.85546875" style="2" customWidth="1"/>
    <col min="6" max="6" width="9" style="2" customWidth="1"/>
    <col min="7" max="7" width="8.28515625" style="2" customWidth="1"/>
    <col min="8" max="8" width="12" style="2" customWidth="1"/>
    <col min="9" max="9" width="18.85546875" style="2" customWidth="1"/>
    <col min="10" max="10" width="25.85546875" style="2" customWidth="1"/>
    <col min="11" max="11" width="14.7109375" style="2" customWidth="1"/>
    <col min="12" max="12" width="24.85546875" style="2" customWidth="1"/>
    <col min="13" max="13" width="12.7109375" style="2" customWidth="1"/>
    <col min="14" max="14" width="11.7109375" style="2" customWidth="1"/>
    <col min="15" max="16384" width="9.140625" style="2"/>
  </cols>
  <sheetData>
    <row r="1" spans="1:14" ht="18.75" x14ac:dyDescent="0.3">
      <c r="A1" s="353"/>
      <c r="B1" s="354"/>
      <c r="C1" s="355"/>
      <c r="D1" s="355"/>
      <c r="E1" s="354"/>
      <c r="F1" s="354"/>
      <c r="G1" s="354"/>
      <c r="H1" s="356"/>
      <c r="I1" s="356"/>
      <c r="J1" s="354"/>
      <c r="K1" s="356"/>
      <c r="L1" s="356"/>
      <c r="M1" s="356"/>
      <c r="N1" s="357" t="s">
        <v>895</v>
      </c>
    </row>
    <row r="2" spans="1:14" ht="18.75" x14ac:dyDescent="0.3">
      <c r="A2" s="353"/>
      <c r="B2" s="354"/>
      <c r="C2" s="355"/>
      <c r="D2" s="355"/>
      <c r="E2" s="354"/>
      <c r="F2" s="354"/>
      <c r="G2" s="354"/>
      <c r="H2" s="354"/>
      <c r="I2" s="354"/>
      <c r="J2" s="354"/>
      <c r="K2" s="354"/>
      <c r="L2" s="354"/>
      <c r="M2" s="354"/>
      <c r="N2" s="354"/>
    </row>
    <row r="3" spans="1:14" ht="15.75" x14ac:dyDescent="0.25">
      <c r="A3" s="562" t="s">
        <v>896</v>
      </c>
      <c r="B3" s="562"/>
      <c r="C3" s="562"/>
      <c r="D3" s="562"/>
      <c r="E3" s="562"/>
      <c r="F3" s="562"/>
      <c r="G3" s="562"/>
      <c r="H3" s="562"/>
      <c r="I3" s="562"/>
      <c r="J3" s="562"/>
      <c r="K3" s="562"/>
      <c r="L3" s="562"/>
      <c r="M3" s="562"/>
      <c r="N3" s="562"/>
    </row>
    <row r="4" spans="1:14" ht="15.75" x14ac:dyDescent="0.25">
      <c r="A4" s="358"/>
      <c r="B4" s="356"/>
      <c r="C4" s="359"/>
      <c r="D4" s="359"/>
      <c r="E4" s="356"/>
      <c r="F4" s="356"/>
      <c r="G4" s="356"/>
      <c r="H4" s="356"/>
      <c r="I4" s="356"/>
      <c r="J4" s="356"/>
      <c r="K4" s="356"/>
      <c r="L4" s="356"/>
      <c r="M4" s="356"/>
      <c r="N4" s="356"/>
    </row>
    <row r="5" spans="1:14" ht="17.25" customHeight="1" x14ac:dyDescent="0.25">
      <c r="A5" s="563" t="s">
        <v>897</v>
      </c>
      <c r="B5" s="563" t="s">
        <v>898</v>
      </c>
      <c r="C5" s="563" t="s">
        <v>899</v>
      </c>
      <c r="D5" s="563" t="s">
        <v>900</v>
      </c>
      <c r="E5" s="564" t="s">
        <v>901</v>
      </c>
      <c r="F5" s="565"/>
      <c r="G5" s="565"/>
      <c r="H5" s="566" t="s">
        <v>902</v>
      </c>
      <c r="I5" s="566" t="s">
        <v>903</v>
      </c>
      <c r="J5" s="566" t="s">
        <v>904</v>
      </c>
      <c r="K5" s="566" t="s">
        <v>905</v>
      </c>
      <c r="L5" s="566" t="s">
        <v>906</v>
      </c>
      <c r="M5" s="566" t="s">
        <v>907</v>
      </c>
      <c r="N5" s="566" t="s">
        <v>908</v>
      </c>
    </row>
    <row r="6" spans="1:14" ht="45" x14ac:dyDescent="0.25">
      <c r="A6" s="563"/>
      <c r="B6" s="563"/>
      <c r="C6" s="563"/>
      <c r="D6" s="563"/>
      <c r="E6" s="360" t="s">
        <v>909</v>
      </c>
      <c r="F6" s="567" t="s">
        <v>910</v>
      </c>
      <c r="G6" s="568"/>
      <c r="H6" s="566"/>
      <c r="I6" s="566"/>
      <c r="J6" s="566"/>
      <c r="K6" s="566"/>
      <c r="L6" s="566"/>
      <c r="M6" s="566"/>
      <c r="N6" s="566"/>
    </row>
    <row r="7" spans="1:14" ht="19.5" customHeight="1" x14ac:dyDescent="0.25">
      <c r="A7" s="563"/>
      <c r="B7" s="563"/>
      <c r="C7" s="563"/>
      <c r="D7" s="563"/>
      <c r="E7" s="360" t="s">
        <v>911</v>
      </c>
      <c r="F7" s="360" t="s">
        <v>912</v>
      </c>
      <c r="G7" s="360" t="s">
        <v>911</v>
      </c>
      <c r="H7" s="566"/>
      <c r="I7" s="566"/>
      <c r="J7" s="566"/>
      <c r="K7" s="566"/>
      <c r="L7" s="566"/>
      <c r="M7" s="566"/>
      <c r="N7" s="566"/>
    </row>
    <row r="8" spans="1:14" ht="13.5" customHeight="1" x14ac:dyDescent="0.25">
      <c r="A8" s="415"/>
      <c r="B8" s="393"/>
      <c r="C8" s="394"/>
      <c r="D8" s="394"/>
      <c r="E8" s="394"/>
      <c r="F8" s="394"/>
      <c r="G8" s="394"/>
      <c r="H8" s="416"/>
      <c r="I8" s="416"/>
      <c r="J8" s="416"/>
      <c r="K8" s="416"/>
      <c r="L8" s="417"/>
      <c r="M8" s="418"/>
      <c r="N8" s="418"/>
    </row>
    <row r="9" spans="1:14" s="403" customFormat="1" ht="20.25" customHeight="1" x14ac:dyDescent="0.25">
      <c r="A9" s="575"/>
      <c r="B9" s="572" t="s">
        <v>27</v>
      </c>
      <c r="C9" s="573"/>
      <c r="D9" s="573"/>
      <c r="E9" s="573"/>
      <c r="F9" s="573"/>
      <c r="G9" s="573"/>
      <c r="H9" s="573"/>
      <c r="I9" s="573"/>
      <c r="J9" s="573"/>
      <c r="K9" s="573"/>
      <c r="L9" s="574"/>
      <c r="M9" s="422">
        <f>SUM(H11:H13)/3</f>
        <v>0.99981991716189444</v>
      </c>
      <c r="N9" s="422">
        <f>SUM(I11:I13)/3</f>
        <v>1.0398386283408978</v>
      </c>
    </row>
    <row r="10" spans="1:14" s="403" customFormat="1" ht="15" customHeight="1" x14ac:dyDescent="0.25">
      <c r="A10" s="576"/>
      <c r="B10" s="572" t="s">
        <v>930</v>
      </c>
      <c r="C10" s="573"/>
      <c r="D10" s="573"/>
      <c r="E10" s="573"/>
      <c r="F10" s="573"/>
      <c r="G10" s="573"/>
      <c r="H10" s="573"/>
      <c r="I10" s="573"/>
      <c r="J10" s="573"/>
      <c r="K10" s="573"/>
      <c r="L10" s="574"/>
      <c r="M10" s="423"/>
      <c r="N10" s="423"/>
    </row>
    <row r="11" spans="1:14" ht="44.25" customHeight="1" x14ac:dyDescent="0.25">
      <c r="A11" s="401" t="s">
        <v>913</v>
      </c>
      <c r="B11" s="395" t="s">
        <v>931</v>
      </c>
      <c r="C11" s="399" t="s">
        <v>932</v>
      </c>
      <c r="D11" s="399" t="s">
        <v>983</v>
      </c>
      <c r="E11" s="399">
        <v>100</v>
      </c>
      <c r="F11" s="399">
        <v>100</v>
      </c>
      <c r="G11" s="399">
        <v>100</v>
      </c>
      <c r="H11" s="421">
        <f>G11/F11</f>
        <v>1</v>
      </c>
      <c r="I11" s="421">
        <f>G11/E11*100%</f>
        <v>1</v>
      </c>
      <c r="J11" s="399" t="s">
        <v>993</v>
      </c>
      <c r="K11" s="398"/>
      <c r="L11" s="409" t="s">
        <v>885</v>
      </c>
      <c r="M11" s="398"/>
      <c r="N11" s="398"/>
    </row>
    <row r="12" spans="1:14" ht="67.5" customHeight="1" x14ac:dyDescent="0.25">
      <c r="A12" s="401" t="s">
        <v>914</v>
      </c>
      <c r="B12" s="396" t="s">
        <v>934</v>
      </c>
      <c r="C12" s="399" t="s">
        <v>932</v>
      </c>
      <c r="D12" s="382" t="s">
        <v>935</v>
      </c>
      <c r="E12" s="399">
        <v>66.099999999999994</v>
      </c>
      <c r="F12" s="399">
        <v>74.040000000000006</v>
      </c>
      <c r="G12" s="399">
        <v>74</v>
      </c>
      <c r="H12" s="421">
        <f t="shared" ref="H12:H13" si="0">G12/F12</f>
        <v>0.99945975148568333</v>
      </c>
      <c r="I12" s="421">
        <f t="shared" ref="I12:I13" si="1">G12/E12*100%</f>
        <v>1.1195158850226929</v>
      </c>
      <c r="J12" s="399" t="s">
        <v>993</v>
      </c>
      <c r="K12" s="398"/>
      <c r="L12" s="400" t="s">
        <v>936</v>
      </c>
      <c r="M12" s="398"/>
      <c r="N12" s="398"/>
    </row>
    <row r="13" spans="1:14" ht="44.25" customHeight="1" x14ac:dyDescent="0.25">
      <c r="A13" s="401" t="s">
        <v>982</v>
      </c>
      <c r="B13" s="397" t="s">
        <v>937</v>
      </c>
      <c r="C13" s="399" t="s">
        <v>932</v>
      </c>
      <c r="D13" s="399" t="s">
        <v>983</v>
      </c>
      <c r="E13" s="399">
        <v>100</v>
      </c>
      <c r="F13" s="399">
        <v>100</v>
      </c>
      <c r="G13" s="399">
        <v>100</v>
      </c>
      <c r="H13" s="421">
        <f t="shared" si="0"/>
        <v>1</v>
      </c>
      <c r="I13" s="421">
        <f t="shared" si="1"/>
        <v>1</v>
      </c>
      <c r="J13" s="399" t="s">
        <v>993</v>
      </c>
      <c r="K13" s="398"/>
      <c r="L13" s="397" t="s">
        <v>885</v>
      </c>
      <c r="M13" s="398"/>
      <c r="N13" s="398"/>
    </row>
    <row r="14" spans="1:14" s="414" customFormat="1" ht="22.5" customHeight="1" x14ac:dyDescent="0.25">
      <c r="A14" s="570">
        <v>1</v>
      </c>
      <c r="B14" s="578" t="s">
        <v>938</v>
      </c>
      <c r="C14" s="579"/>
      <c r="D14" s="579"/>
      <c r="E14" s="579"/>
      <c r="F14" s="579"/>
      <c r="G14" s="579"/>
      <c r="H14" s="579"/>
      <c r="I14" s="579"/>
      <c r="J14" s="579"/>
      <c r="K14" s="580"/>
      <c r="L14" s="413"/>
      <c r="M14" s="424">
        <f>SUM(H16:H19)/4</f>
        <v>1.0022247270273585</v>
      </c>
      <c r="N14" s="424">
        <f>SUM(I16:I19)/4</f>
        <v>1.0022247270273585</v>
      </c>
    </row>
    <row r="15" spans="1:14" s="420" customFormat="1" ht="14.25" customHeight="1" x14ac:dyDescent="0.25">
      <c r="A15" s="571"/>
      <c r="B15" s="581" t="s">
        <v>939</v>
      </c>
      <c r="C15" s="582"/>
      <c r="D15" s="582"/>
      <c r="E15" s="582"/>
      <c r="F15" s="582"/>
      <c r="G15" s="582"/>
      <c r="H15" s="582"/>
      <c r="I15" s="582"/>
      <c r="J15" s="582"/>
      <c r="K15" s="583"/>
      <c r="L15" s="419"/>
      <c r="M15" s="425"/>
      <c r="N15" s="425"/>
    </row>
    <row r="16" spans="1:14" ht="55.5" customHeight="1" x14ac:dyDescent="0.25">
      <c r="A16" s="402" t="s">
        <v>44</v>
      </c>
      <c r="B16" s="400" t="s">
        <v>940</v>
      </c>
      <c r="C16" s="399" t="s">
        <v>932</v>
      </c>
      <c r="D16" s="399" t="s">
        <v>933</v>
      </c>
      <c r="E16" s="407">
        <v>100</v>
      </c>
      <c r="F16" s="380">
        <v>100</v>
      </c>
      <c r="G16" s="377">
        <v>100</v>
      </c>
      <c r="H16" s="421">
        <f>G16/F16</f>
        <v>1</v>
      </c>
      <c r="I16" s="421">
        <f>G16/E16</f>
        <v>1</v>
      </c>
      <c r="J16" s="399" t="s">
        <v>993</v>
      </c>
      <c r="K16" s="398"/>
      <c r="L16" s="584" t="s">
        <v>941</v>
      </c>
      <c r="M16" s="398"/>
      <c r="N16" s="398"/>
    </row>
    <row r="17" spans="1:14" ht="81" customHeight="1" x14ac:dyDescent="0.25">
      <c r="A17" s="402" t="s">
        <v>59</v>
      </c>
      <c r="B17" s="400" t="s">
        <v>984</v>
      </c>
      <c r="C17" s="399" t="s">
        <v>932</v>
      </c>
      <c r="D17" s="399" t="s">
        <v>935</v>
      </c>
      <c r="E17" s="408">
        <f>2600/(2600+367)*100</f>
        <v>87.63060330299966</v>
      </c>
      <c r="F17" s="385">
        <f>2600/(2600+367)*100</f>
        <v>87.63060330299966</v>
      </c>
      <c r="G17" s="383">
        <f>(2912+253+161)/(3326+436)*100</f>
        <v>88.410419989367355</v>
      </c>
      <c r="H17" s="421">
        <f t="shared" ref="H17:H19" si="2">G17/F17</f>
        <v>1.0088989081094344</v>
      </c>
      <c r="I17" s="421">
        <f t="shared" ref="I17:I19" si="3">G17/E17</f>
        <v>1.0088989081094344</v>
      </c>
      <c r="J17" s="399" t="s">
        <v>993</v>
      </c>
      <c r="K17" s="398"/>
      <c r="L17" s="585"/>
      <c r="M17" s="398"/>
      <c r="N17" s="398"/>
    </row>
    <row r="18" spans="1:14" ht="39" customHeight="1" x14ac:dyDescent="0.25">
      <c r="A18" s="402" t="s">
        <v>942</v>
      </c>
      <c r="B18" s="400" t="s">
        <v>943</v>
      </c>
      <c r="C18" s="399" t="s">
        <v>932</v>
      </c>
      <c r="D18" s="399" t="s">
        <v>933</v>
      </c>
      <c r="E18" s="378">
        <v>100</v>
      </c>
      <c r="F18" s="377">
        <v>100</v>
      </c>
      <c r="G18" s="377">
        <v>100</v>
      </c>
      <c r="H18" s="421">
        <f t="shared" si="2"/>
        <v>1</v>
      </c>
      <c r="I18" s="421">
        <f t="shared" si="3"/>
        <v>1</v>
      </c>
      <c r="J18" s="399" t="s">
        <v>993</v>
      </c>
      <c r="K18" s="398"/>
      <c r="L18" s="585"/>
      <c r="M18" s="398"/>
      <c r="N18" s="398"/>
    </row>
    <row r="19" spans="1:14" ht="30" customHeight="1" x14ac:dyDescent="0.25">
      <c r="A19" s="401" t="s">
        <v>944</v>
      </c>
      <c r="B19" s="400" t="s">
        <v>945</v>
      </c>
      <c r="C19" s="399" t="s">
        <v>932</v>
      </c>
      <c r="D19" s="399" t="s">
        <v>933</v>
      </c>
      <c r="E19" s="407">
        <v>100</v>
      </c>
      <c r="F19" s="380">
        <v>100</v>
      </c>
      <c r="G19" s="377">
        <v>100</v>
      </c>
      <c r="H19" s="421">
        <f t="shared" si="2"/>
        <v>1</v>
      </c>
      <c r="I19" s="421">
        <f t="shared" si="3"/>
        <v>1</v>
      </c>
      <c r="J19" s="399" t="s">
        <v>993</v>
      </c>
      <c r="K19" s="398"/>
      <c r="L19" s="586"/>
      <c r="M19" s="398"/>
      <c r="N19" s="398"/>
    </row>
    <row r="20" spans="1:14" s="414" customFormat="1" ht="18" customHeight="1" x14ac:dyDescent="0.25">
      <c r="A20" s="570">
        <v>2</v>
      </c>
      <c r="B20" s="578" t="s">
        <v>985</v>
      </c>
      <c r="C20" s="579"/>
      <c r="D20" s="579"/>
      <c r="E20" s="579"/>
      <c r="F20" s="579"/>
      <c r="G20" s="579"/>
      <c r="H20" s="579"/>
      <c r="I20" s="579"/>
      <c r="J20" s="579"/>
      <c r="K20" s="579"/>
      <c r="L20" s="580"/>
      <c r="M20" s="424">
        <f>SUM(H22:H25)/4</f>
        <v>1</v>
      </c>
      <c r="N20" s="424">
        <f>SUM(I22:I25)/4</f>
        <v>1</v>
      </c>
    </row>
    <row r="21" spans="1:14" s="414" customFormat="1" ht="14.25" customHeight="1" x14ac:dyDescent="0.25">
      <c r="A21" s="571"/>
      <c r="B21" s="581" t="s">
        <v>946</v>
      </c>
      <c r="C21" s="582"/>
      <c r="D21" s="582"/>
      <c r="E21" s="582"/>
      <c r="F21" s="582"/>
      <c r="G21" s="582"/>
      <c r="H21" s="582"/>
      <c r="I21" s="582"/>
      <c r="J21" s="582"/>
      <c r="K21" s="582"/>
      <c r="L21" s="583"/>
      <c r="M21" s="425"/>
      <c r="N21" s="425"/>
    </row>
    <row r="22" spans="1:14" ht="37.5" customHeight="1" x14ac:dyDescent="0.25">
      <c r="A22" s="379" t="s">
        <v>69</v>
      </c>
      <c r="B22" s="400" t="s">
        <v>947</v>
      </c>
      <c r="C22" s="380" t="s">
        <v>932</v>
      </c>
      <c r="D22" s="377" t="s">
        <v>933</v>
      </c>
      <c r="E22" s="399">
        <v>100</v>
      </c>
      <c r="F22" s="399">
        <v>100</v>
      </c>
      <c r="G22" s="399">
        <v>100</v>
      </c>
      <c r="H22" s="421">
        <f>G22/F22</f>
        <v>1</v>
      </c>
      <c r="I22" s="421">
        <f>G22/E22</f>
        <v>1</v>
      </c>
      <c r="J22" s="399" t="s">
        <v>993</v>
      </c>
      <c r="K22" s="398"/>
      <c r="L22" s="587" t="s">
        <v>948</v>
      </c>
      <c r="M22" s="398"/>
      <c r="N22" s="398"/>
    </row>
    <row r="23" spans="1:14" ht="64.5" customHeight="1" x14ac:dyDescent="0.25">
      <c r="A23" s="379" t="s">
        <v>77</v>
      </c>
      <c r="B23" s="397" t="s">
        <v>949</v>
      </c>
      <c r="C23" s="386" t="s">
        <v>932</v>
      </c>
      <c r="D23" s="377" t="s">
        <v>933</v>
      </c>
      <c r="E23" s="399">
        <v>100</v>
      </c>
      <c r="F23" s="399">
        <v>100</v>
      </c>
      <c r="G23" s="399">
        <v>100</v>
      </c>
      <c r="H23" s="421">
        <f t="shared" ref="H23:H25" si="4">G23/F23</f>
        <v>1</v>
      </c>
      <c r="I23" s="421">
        <f t="shared" ref="I23:I25" si="5">G23/E23</f>
        <v>1</v>
      </c>
      <c r="J23" s="399" t="s">
        <v>993</v>
      </c>
      <c r="K23" s="398"/>
      <c r="L23" s="588"/>
      <c r="M23" s="399"/>
      <c r="N23" s="399"/>
    </row>
    <row r="24" spans="1:14" ht="30" customHeight="1" x14ac:dyDescent="0.25">
      <c r="A24" s="379" t="s">
        <v>950</v>
      </c>
      <c r="B24" s="400" t="s">
        <v>945</v>
      </c>
      <c r="C24" s="380" t="s">
        <v>932</v>
      </c>
      <c r="D24" s="380" t="s">
        <v>933</v>
      </c>
      <c r="E24" s="399">
        <v>100</v>
      </c>
      <c r="F24" s="399">
        <v>100</v>
      </c>
      <c r="G24" s="399">
        <v>100</v>
      </c>
      <c r="H24" s="421">
        <f t="shared" si="4"/>
        <v>1</v>
      </c>
      <c r="I24" s="421">
        <f t="shared" si="5"/>
        <v>1</v>
      </c>
      <c r="J24" s="399" t="s">
        <v>993</v>
      </c>
      <c r="K24" s="398"/>
      <c r="L24" s="588"/>
      <c r="M24" s="398"/>
      <c r="N24" s="398"/>
    </row>
    <row r="25" spans="1:14" ht="51.75" customHeight="1" x14ac:dyDescent="0.25">
      <c r="A25" s="379" t="s">
        <v>951</v>
      </c>
      <c r="B25" s="404" t="s">
        <v>952</v>
      </c>
      <c r="C25" s="380" t="s">
        <v>953</v>
      </c>
      <c r="D25" s="380" t="s">
        <v>933</v>
      </c>
      <c r="E25" s="399">
        <v>100</v>
      </c>
      <c r="F25" s="399">
        <v>100</v>
      </c>
      <c r="G25" s="399">
        <v>100</v>
      </c>
      <c r="H25" s="421">
        <f t="shared" si="4"/>
        <v>1</v>
      </c>
      <c r="I25" s="421">
        <f t="shared" si="5"/>
        <v>1</v>
      </c>
      <c r="J25" s="399" t="s">
        <v>993</v>
      </c>
      <c r="K25" s="398"/>
      <c r="L25" s="589"/>
      <c r="M25" s="398"/>
      <c r="N25" s="398"/>
    </row>
    <row r="26" spans="1:14" s="414" customFormat="1" ht="18" customHeight="1" x14ac:dyDescent="0.25">
      <c r="A26" s="570">
        <v>3</v>
      </c>
      <c r="B26" s="578" t="s">
        <v>986</v>
      </c>
      <c r="C26" s="579"/>
      <c r="D26" s="579"/>
      <c r="E26" s="579"/>
      <c r="F26" s="579"/>
      <c r="G26" s="579"/>
      <c r="H26" s="579"/>
      <c r="I26" s="579"/>
      <c r="J26" s="579"/>
      <c r="K26" s="579"/>
      <c r="L26" s="580"/>
      <c r="M26" s="424">
        <f>SUM(H28:H33)/6</f>
        <v>1.0277329952035557</v>
      </c>
      <c r="N26" s="424">
        <f>SUM(I28:I33)/6</f>
        <v>1.4022220398488772</v>
      </c>
    </row>
    <row r="27" spans="1:14" s="414" customFormat="1" ht="16.5" customHeight="1" x14ac:dyDescent="0.25">
      <c r="A27" s="571"/>
      <c r="B27" s="581" t="s">
        <v>998</v>
      </c>
      <c r="C27" s="582"/>
      <c r="D27" s="582"/>
      <c r="E27" s="582"/>
      <c r="F27" s="582"/>
      <c r="G27" s="582"/>
      <c r="H27" s="582"/>
      <c r="I27" s="582"/>
      <c r="J27" s="582"/>
      <c r="K27" s="582"/>
      <c r="L27" s="583"/>
      <c r="M27" s="425"/>
      <c r="N27" s="425"/>
    </row>
    <row r="28" spans="1:14" ht="37.5" customHeight="1" x14ac:dyDescent="0.25">
      <c r="A28" s="388" t="s">
        <v>84</v>
      </c>
      <c r="B28" s="395" t="s">
        <v>954</v>
      </c>
      <c r="C28" s="386" t="s">
        <v>932</v>
      </c>
      <c r="D28" s="381" t="s">
        <v>933</v>
      </c>
      <c r="E28" s="407">
        <v>100</v>
      </c>
      <c r="F28" s="380">
        <v>100</v>
      </c>
      <c r="G28" s="377">
        <v>100</v>
      </c>
      <c r="H28" s="421">
        <f>G28/F28</f>
        <v>1</v>
      </c>
      <c r="I28" s="421">
        <f>G28/E28</f>
        <v>1</v>
      </c>
      <c r="J28" s="399" t="s">
        <v>993</v>
      </c>
      <c r="K28" s="398"/>
      <c r="L28" s="584" t="s">
        <v>955</v>
      </c>
      <c r="M28" s="398"/>
      <c r="N28" s="398"/>
    </row>
    <row r="29" spans="1:14" ht="45" customHeight="1" x14ac:dyDescent="0.25">
      <c r="A29" s="389" t="s">
        <v>96</v>
      </c>
      <c r="B29" s="395" t="s">
        <v>956</v>
      </c>
      <c r="C29" s="386" t="s">
        <v>932</v>
      </c>
      <c r="D29" s="382" t="s">
        <v>935</v>
      </c>
      <c r="E29" s="405">
        <f>(5551+243+325+270)/9665*100</f>
        <v>66.104500775995859</v>
      </c>
      <c r="F29" s="383">
        <v>73</v>
      </c>
      <c r="G29" s="384">
        <f>(5545+874)/8670*100</f>
        <v>74.036908881199537</v>
      </c>
      <c r="H29" s="421">
        <f t="shared" ref="H29:H33" si="6">G29/F29</f>
        <v>1.0142042312493087</v>
      </c>
      <c r="I29" s="421">
        <f t="shared" ref="I29:I33" si="7">G29/E29</f>
        <v>1.1199980033444883</v>
      </c>
      <c r="J29" s="399" t="s">
        <v>993</v>
      </c>
      <c r="K29" s="398"/>
      <c r="L29" s="585"/>
      <c r="M29" s="399"/>
      <c r="N29" s="399"/>
    </row>
    <row r="30" spans="1:14" ht="68.25" customHeight="1" x14ac:dyDescent="0.25">
      <c r="A30" s="389" t="s">
        <v>108</v>
      </c>
      <c r="B30" s="395" t="s">
        <v>957</v>
      </c>
      <c r="C30" s="386" t="s">
        <v>932</v>
      </c>
      <c r="D30" s="382" t="s">
        <v>935</v>
      </c>
      <c r="E30" s="406">
        <v>25</v>
      </c>
      <c r="F30" s="377">
        <v>50</v>
      </c>
      <c r="G30" s="390">
        <f>5545/8670*100</f>
        <v>63.956170703575545</v>
      </c>
      <c r="H30" s="421">
        <f t="shared" si="6"/>
        <v>1.2791234140715109</v>
      </c>
      <c r="I30" s="421">
        <f t="shared" si="7"/>
        <v>2.5582468281430217</v>
      </c>
      <c r="J30" s="399" t="s">
        <v>993</v>
      </c>
      <c r="K30" s="398"/>
      <c r="L30" s="585"/>
      <c r="M30" s="398"/>
      <c r="N30" s="398"/>
    </row>
    <row r="31" spans="1:14" ht="33" customHeight="1" x14ac:dyDescent="0.25">
      <c r="A31" s="379" t="s">
        <v>958</v>
      </c>
      <c r="B31" s="400" t="s">
        <v>959</v>
      </c>
      <c r="C31" s="380" t="s">
        <v>932</v>
      </c>
      <c r="D31" s="380" t="s">
        <v>933</v>
      </c>
      <c r="E31" s="407">
        <v>100</v>
      </c>
      <c r="F31" s="380">
        <v>100</v>
      </c>
      <c r="G31" s="377">
        <v>100</v>
      </c>
      <c r="H31" s="421">
        <f t="shared" si="6"/>
        <v>1</v>
      </c>
      <c r="I31" s="421">
        <f t="shared" si="7"/>
        <v>1</v>
      </c>
      <c r="J31" s="399" t="s">
        <v>993</v>
      </c>
      <c r="K31" s="398"/>
      <c r="L31" s="586"/>
      <c r="M31" s="398"/>
      <c r="N31" s="398"/>
    </row>
    <row r="32" spans="1:14" ht="69" customHeight="1" x14ac:dyDescent="0.25">
      <c r="A32" s="389" t="s">
        <v>960</v>
      </c>
      <c r="B32" s="395" t="s">
        <v>961</v>
      </c>
      <c r="C32" s="386" t="s">
        <v>932</v>
      </c>
      <c r="D32" s="382" t="s">
        <v>935</v>
      </c>
      <c r="E32" s="405">
        <f>(250+193+120)/9665*100</f>
        <v>5.8251422659079148</v>
      </c>
      <c r="F32" s="383">
        <f>(250+193+140)/11887*100</f>
        <v>4.9045175401699339</v>
      </c>
      <c r="G32" s="383">
        <f>(137+102+270)/11887*100</f>
        <v>4.2819887271809538</v>
      </c>
      <c r="H32" s="421">
        <f t="shared" si="6"/>
        <v>0.87307032590051448</v>
      </c>
      <c r="I32" s="421">
        <f t="shared" si="7"/>
        <v>0.73508740760575353</v>
      </c>
      <c r="J32" s="398" t="s">
        <v>994</v>
      </c>
      <c r="K32" s="398"/>
      <c r="L32" s="590" t="s">
        <v>962</v>
      </c>
      <c r="M32" s="398"/>
      <c r="N32" s="398"/>
    </row>
    <row r="33" spans="1:14" ht="55.5" customHeight="1" x14ac:dyDescent="0.25">
      <c r="A33" s="379" t="s">
        <v>963</v>
      </c>
      <c r="B33" s="404" t="s">
        <v>964</v>
      </c>
      <c r="C33" s="380" t="s">
        <v>953</v>
      </c>
      <c r="D33" s="380" t="s">
        <v>933</v>
      </c>
      <c r="E33" s="407">
        <v>1</v>
      </c>
      <c r="F33" s="377">
        <v>2</v>
      </c>
      <c r="G33" s="377">
        <v>2</v>
      </c>
      <c r="H33" s="421">
        <f t="shared" si="6"/>
        <v>1</v>
      </c>
      <c r="I33" s="421">
        <f t="shared" si="7"/>
        <v>2</v>
      </c>
      <c r="J33" s="399" t="s">
        <v>993</v>
      </c>
      <c r="K33" s="398"/>
      <c r="L33" s="591"/>
      <c r="M33" s="399"/>
      <c r="N33" s="399"/>
    </row>
    <row r="34" spans="1:14" s="414" customFormat="1" ht="18" customHeight="1" x14ac:dyDescent="0.25">
      <c r="A34" s="570">
        <v>4</v>
      </c>
      <c r="B34" s="578" t="s">
        <v>965</v>
      </c>
      <c r="C34" s="579"/>
      <c r="D34" s="579"/>
      <c r="E34" s="579"/>
      <c r="F34" s="579"/>
      <c r="G34" s="579"/>
      <c r="H34" s="579"/>
      <c r="I34" s="579"/>
      <c r="J34" s="579"/>
      <c r="K34" s="579"/>
      <c r="L34" s="580"/>
      <c r="M34" s="424">
        <f>SUM(H36:H37)/2</f>
        <v>1</v>
      </c>
      <c r="N34" s="424">
        <f>SUM(I36:I37)/2</f>
        <v>1</v>
      </c>
    </row>
    <row r="35" spans="1:14" s="414" customFormat="1" ht="15.75" customHeight="1" x14ac:dyDescent="0.25">
      <c r="A35" s="571"/>
      <c r="B35" s="581" t="s">
        <v>999</v>
      </c>
      <c r="C35" s="582"/>
      <c r="D35" s="582"/>
      <c r="E35" s="582"/>
      <c r="F35" s="582"/>
      <c r="G35" s="582"/>
      <c r="H35" s="582"/>
      <c r="I35" s="582"/>
      <c r="J35" s="582"/>
      <c r="K35" s="582"/>
      <c r="L35" s="583"/>
      <c r="M35" s="425"/>
      <c r="N35" s="425"/>
    </row>
    <row r="36" spans="1:14" ht="37.5" customHeight="1" x14ac:dyDescent="0.25">
      <c r="A36" s="388" t="s">
        <v>128</v>
      </c>
      <c r="B36" s="395" t="s">
        <v>966</v>
      </c>
      <c r="C36" s="386" t="s">
        <v>953</v>
      </c>
      <c r="D36" s="382" t="s">
        <v>935</v>
      </c>
      <c r="E36" s="399">
        <v>67</v>
      </c>
      <c r="F36" s="399">
        <v>67</v>
      </c>
      <c r="G36" s="399">
        <v>67</v>
      </c>
      <c r="H36" s="421">
        <f>G36/F36</f>
        <v>1</v>
      </c>
      <c r="I36" s="421">
        <f>G36/E36</f>
        <v>1</v>
      </c>
      <c r="J36" s="399" t="s">
        <v>995</v>
      </c>
      <c r="K36" s="398"/>
      <c r="L36" s="584" t="s">
        <v>885</v>
      </c>
      <c r="M36" s="398"/>
      <c r="N36" s="398"/>
    </row>
    <row r="37" spans="1:14" ht="45" customHeight="1" x14ac:dyDescent="0.25">
      <c r="A37" s="389" t="s">
        <v>132</v>
      </c>
      <c r="B37" s="395" t="s">
        <v>967</v>
      </c>
      <c r="C37" s="380" t="s">
        <v>932</v>
      </c>
      <c r="D37" s="381" t="s">
        <v>933</v>
      </c>
      <c r="E37" s="399">
        <v>100</v>
      </c>
      <c r="F37" s="399">
        <v>100</v>
      </c>
      <c r="G37" s="399">
        <v>100</v>
      </c>
      <c r="H37" s="421">
        <f>G37/F37</f>
        <v>1</v>
      </c>
      <c r="I37" s="421">
        <f>G37/E37</f>
        <v>1</v>
      </c>
      <c r="J37" s="399" t="s">
        <v>993</v>
      </c>
      <c r="K37" s="398"/>
      <c r="L37" s="586"/>
      <c r="M37" s="399"/>
      <c r="N37" s="399"/>
    </row>
    <row r="38" spans="1:14" s="414" customFormat="1" ht="18" customHeight="1" x14ac:dyDescent="0.25">
      <c r="A38" s="570">
        <v>5</v>
      </c>
      <c r="B38" s="578" t="s">
        <v>987</v>
      </c>
      <c r="C38" s="579"/>
      <c r="D38" s="579"/>
      <c r="E38" s="579"/>
      <c r="F38" s="579"/>
      <c r="G38" s="579"/>
      <c r="H38" s="579"/>
      <c r="I38" s="579"/>
      <c r="J38" s="579"/>
      <c r="K38" s="579"/>
      <c r="L38" s="580"/>
      <c r="M38" s="424">
        <f>SUM(H40:H45)/6</f>
        <v>0.8891016323150539</v>
      </c>
      <c r="N38" s="424">
        <f>SUM(I40:I45)/6</f>
        <v>0.83813555997077083</v>
      </c>
    </row>
    <row r="39" spans="1:14" s="414" customFormat="1" ht="70.5" customHeight="1" x14ac:dyDescent="0.25">
      <c r="A39" s="571"/>
      <c r="B39" s="581" t="s">
        <v>988</v>
      </c>
      <c r="C39" s="582"/>
      <c r="D39" s="582"/>
      <c r="E39" s="582"/>
      <c r="F39" s="582"/>
      <c r="G39" s="582"/>
      <c r="H39" s="582"/>
      <c r="I39" s="582"/>
      <c r="J39" s="582"/>
      <c r="K39" s="582"/>
      <c r="L39" s="583"/>
      <c r="M39" s="425"/>
      <c r="N39" s="425"/>
    </row>
    <row r="40" spans="1:14" ht="57" customHeight="1" x14ac:dyDescent="0.25">
      <c r="A40" s="388" t="s">
        <v>148</v>
      </c>
      <c r="B40" s="395" t="s">
        <v>968</v>
      </c>
      <c r="C40" s="380" t="s">
        <v>932</v>
      </c>
      <c r="D40" s="381" t="s">
        <v>933</v>
      </c>
      <c r="E40" s="377">
        <v>100</v>
      </c>
      <c r="F40" s="377">
        <v>100</v>
      </c>
      <c r="G40" s="377">
        <v>100</v>
      </c>
      <c r="H40" s="421">
        <f>G40/F40</f>
        <v>1</v>
      </c>
      <c r="I40" s="421">
        <f>G40/E40</f>
        <v>1</v>
      </c>
      <c r="J40" s="398"/>
      <c r="K40" s="398"/>
      <c r="L40" s="395" t="s">
        <v>969</v>
      </c>
      <c r="M40" s="398"/>
      <c r="N40" s="398"/>
    </row>
    <row r="41" spans="1:14" ht="57.75" customHeight="1" x14ac:dyDescent="0.25">
      <c r="A41" s="388" t="s">
        <v>153</v>
      </c>
      <c r="B41" s="395" t="s">
        <v>970</v>
      </c>
      <c r="C41" s="380" t="s">
        <v>932</v>
      </c>
      <c r="D41" s="381" t="s">
        <v>933</v>
      </c>
      <c r="E41" s="377">
        <v>100</v>
      </c>
      <c r="F41" s="377">
        <v>100</v>
      </c>
      <c r="G41" s="377">
        <v>100</v>
      </c>
      <c r="H41" s="421">
        <f t="shared" ref="H41:H45" si="8">G41/F41</f>
        <v>1</v>
      </c>
      <c r="I41" s="421">
        <f>G41/E41</f>
        <v>1</v>
      </c>
      <c r="J41" s="399" t="s">
        <v>993</v>
      </c>
      <c r="K41" s="398"/>
      <c r="L41" s="395" t="s">
        <v>971</v>
      </c>
      <c r="M41" s="399"/>
      <c r="N41" s="399"/>
    </row>
    <row r="42" spans="1:14" ht="55.5" customHeight="1" x14ac:dyDescent="0.25">
      <c r="A42" s="391" t="s">
        <v>157</v>
      </c>
      <c r="B42" s="395" t="s">
        <v>972</v>
      </c>
      <c r="C42" s="388" t="s">
        <v>973</v>
      </c>
      <c r="D42" s="382" t="s">
        <v>935</v>
      </c>
      <c r="E42" s="387">
        <v>2611</v>
      </c>
      <c r="F42" s="387">
        <v>2624</v>
      </c>
      <c r="G42" s="387">
        <v>2325.1</v>
      </c>
      <c r="H42" s="421">
        <f t="shared" si="8"/>
        <v>0.88608993902439026</v>
      </c>
      <c r="I42" s="421">
        <f t="shared" ref="I42:I45" si="9">G42/E42</f>
        <v>0.89050172347759471</v>
      </c>
      <c r="J42" s="398" t="s">
        <v>996</v>
      </c>
      <c r="K42" s="398"/>
      <c r="L42" s="395" t="s">
        <v>974</v>
      </c>
      <c r="M42" s="398"/>
      <c r="N42" s="398"/>
    </row>
    <row r="43" spans="1:14" ht="93" customHeight="1" x14ac:dyDescent="0.25">
      <c r="A43" s="388" t="s">
        <v>169</v>
      </c>
      <c r="B43" s="395" t="s">
        <v>975</v>
      </c>
      <c r="C43" s="388" t="s">
        <v>973</v>
      </c>
      <c r="D43" s="381" t="s">
        <v>933</v>
      </c>
      <c r="E43" s="388">
        <v>878</v>
      </c>
      <c r="F43" s="388">
        <v>559</v>
      </c>
      <c r="G43" s="388">
        <v>457.9</v>
      </c>
      <c r="H43" s="421">
        <f t="shared" si="8"/>
        <v>0.8191413237924865</v>
      </c>
      <c r="I43" s="421">
        <f t="shared" si="9"/>
        <v>0.52152619589977223</v>
      </c>
      <c r="J43" s="398" t="s">
        <v>997</v>
      </c>
      <c r="K43" s="398"/>
      <c r="L43" s="395" t="s">
        <v>976</v>
      </c>
      <c r="M43" s="398"/>
      <c r="N43" s="398"/>
    </row>
    <row r="44" spans="1:14" ht="69.75" customHeight="1" x14ac:dyDescent="0.25">
      <c r="A44" s="388" t="s">
        <v>977</v>
      </c>
      <c r="B44" s="395" t="s">
        <v>978</v>
      </c>
      <c r="C44" s="380" t="s">
        <v>932</v>
      </c>
      <c r="D44" s="381" t="s">
        <v>933</v>
      </c>
      <c r="E44" s="387">
        <v>100</v>
      </c>
      <c r="F44" s="387">
        <v>100</v>
      </c>
      <c r="G44" s="387">
        <v>100</v>
      </c>
      <c r="H44" s="421">
        <f t="shared" si="8"/>
        <v>1</v>
      </c>
      <c r="I44" s="421">
        <f t="shared" si="9"/>
        <v>1</v>
      </c>
      <c r="J44" s="399" t="s">
        <v>993</v>
      </c>
      <c r="K44" s="398"/>
      <c r="L44" s="395" t="s">
        <v>976</v>
      </c>
      <c r="M44" s="398"/>
      <c r="N44" s="398"/>
    </row>
    <row r="45" spans="1:14" ht="77.25" customHeight="1" x14ac:dyDescent="0.25">
      <c r="A45" s="388" t="s">
        <v>979</v>
      </c>
      <c r="B45" s="395" t="s">
        <v>980</v>
      </c>
      <c r="C45" s="380" t="s">
        <v>932</v>
      </c>
      <c r="D45" s="382" t="s">
        <v>935</v>
      </c>
      <c r="E45" s="392">
        <f>2753/8864*100</f>
        <v>31.058212996389891</v>
      </c>
      <c r="F45" s="392">
        <f>2655/8723*100</f>
        <v>30.436776338415683</v>
      </c>
      <c r="G45" s="392">
        <f>1671/8723*100</f>
        <v>19.156253582483089</v>
      </c>
      <c r="H45" s="421">
        <f t="shared" si="8"/>
        <v>0.62937853107344621</v>
      </c>
      <c r="I45" s="421">
        <f t="shared" si="9"/>
        <v>0.61678544044725792</v>
      </c>
      <c r="J45" s="398" t="s">
        <v>888</v>
      </c>
      <c r="K45" s="398"/>
      <c r="L45" s="395" t="s">
        <v>981</v>
      </c>
      <c r="M45" s="399"/>
      <c r="N45" s="399"/>
    </row>
    <row r="46" spans="1:14" ht="15.75" x14ac:dyDescent="0.25">
      <c r="A46" s="359"/>
      <c r="B46" s="356"/>
      <c r="C46" s="356"/>
      <c r="D46" s="356"/>
      <c r="E46" s="356"/>
      <c r="F46" s="356"/>
      <c r="G46" s="356"/>
      <c r="H46" s="356"/>
      <c r="I46" s="356"/>
      <c r="J46" s="356"/>
      <c r="K46" s="356"/>
      <c r="L46" s="356"/>
      <c r="M46" s="356"/>
      <c r="N46" s="356"/>
    </row>
    <row r="47" spans="1:14" ht="32.25" customHeight="1" x14ac:dyDescent="0.25">
      <c r="A47" s="569" t="s">
        <v>915</v>
      </c>
      <c r="B47" s="569"/>
      <c r="C47" s="569"/>
      <c r="D47" s="569"/>
      <c r="E47" s="569"/>
      <c r="F47" s="569"/>
      <c r="G47" s="569"/>
      <c r="H47" s="569"/>
      <c r="I47" s="569"/>
      <c r="J47" s="569"/>
      <c r="K47" s="569"/>
      <c r="L47" s="569"/>
      <c r="M47" s="569"/>
      <c r="N47" s="569"/>
    </row>
    <row r="48" spans="1:14" ht="16.5" customHeight="1" x14ac:dyDescent="0.25">
      <c r="A48" s="577" t="s">
        <v>916</v>
      </c>
      <c r="B48" s="577"/>
      <c r="C48" s="577"/>
      <c r="D48" s="577"/>
      <c r="E48" s="577"/>
      <c r="F48" s="577"/>
      <c r="G48" s="577"/>
      <c r="H48" s="577"/>
      <c r="I48" s="577"/>
      <c r="J48" s="577"/>
      <c r="K48" s="577"/>
      <c r="L48" s="577"/>
      <c r="M48" s="577"/>
      <c r="N48" s="577"/>
    </row>
    <row r="49" spans="1:14" ht="30.75" customHeight="1" x14ac:dyDescent="0.25">
      <c r="A49" s="569" t="s">
        <v>917</v>
      </c>
      <c r="B49" s="569"/>
      <c r="C49" s="569"/>
      <c r="D49" s="569"/>
      <c r="E49" s="569"/>
      <c r="F49" s="569"/>
      <c r="G49" s="569"/>
      <c r="H49" s="569"/>
      <c r="I49" s="569"/>
      <c r="J49" s="569"/>
      <c r="K49" s="569"/>
      <c r="L49" s="569"/>
      <c r="M49" s="569"/>
      <c r="N49" s="569"/>
    </row>
    <row r="50" spans="1:14" ht="33.75" customHeight="1" x14ac:dyDescent="0.25">
      <c r="A50" s="569" t="s">
        <v>918</v>
      </c>
      <c r="B50" s="569"/>
      <c r="C50" s="569"/>
      <c r="D50" s="569"/>
      <c r="E50" s="569"/>
      <c r="F50" s="569"/>
      <c r="G50" s="569"/>
      <c r="H50" s="569"/>
      <c r="I50" s="569"/>
      <c r="J50" s="569"/>
      <c r="K50" s="569"/>
      <c r="L50" s="569"/>
      <c r="M50" s="569"/>
      <c r="N50" s="569"/>
    </row>
    <row r="51" spans="1:14" x14ac:dyDescent="0.25">
      <c r="A51" s="569"/>
      <c r="B51" s="569"/>
      <c r="C51" s="569"/>
      <c r="D51" s="569"/>
      <c r="E51" s="569"/>
      <c r="F51" s="569"/>
      <c r="G51" s="569"/>
      <c r="H51" s="569"/>
      <c r="I51" s="569"/>
      <c r="J51" s="569"/>
      <c r="K51" s="569"/>
      <c r="L51" s="569"/>
      <c r="M51" s="569"/>
      <c r="N51" s="569"/>
    </row>
    <row r="53" spans="1:14" ht="30" hidden="1" x14ac:dyDescent="0.25">
      <c r="B53" s="162" t="s">
        <v>1002</v>
      </c>
      <c r="C53" s="637"/>
      <c r="D53" s="637"/>
      <c r="E53" s="636" t="s">
        <v>1005</v>
      </c>
    </row>
    <row r="54" spans="1:14" hidden="1" x14ac:dyDescent="0.25"/>
    <row r="55" spans="1:14" hidden="1" x14ac:dyDescent="0.25">
      <c r="B55" s="636" t="s">
        <v>183</v>
      </c>
    </row>
  </sheetData>
  <mergeCells count="42">
    <mergeCell ref="L16:L19"/>
    <mergeCell ref="L22:L25"/>
    <mergeCell ref="L32:L33"/>
    <mergeCell ref="L28:L31"/>
    <mergeCell ref="L36:L37"/>
    <mergeCell ref="B35:L35"/>
    <mergeCell ref="A49:N49"/>
    <mergeCell ref="A50:N50"/>
    <mergeCell ref="A51:N51"/>
    <mergeCell ref="B9:L9"/>
    <mergeCell ref="A9:A10"/>
    <mergeCell ref="B10:L10"/>
    <mergeCell ref="A14:A15"/>
    <mergeCell ref="A48:N48"/>
    <mergeCell ref="B38:L38"/>
    <mergeCell ref="B39:L39"/>
    <mergeCell ref="B14:K14"/>
    <mergeCell ref="B15:K15"/>
    <mergeCell ref="B20:L20"/>
    <mergeCell ref="B21:L21"/>
    <mergeCell ref="B26:L26"/>
    <mergeCell ref="B27:L27"/>
    <mergeCell ref="A47:N47"/>
    <mergeCell ref="A20:A21"/>
    <mergeCell ref="A26:A27"/>
    <mergeCell ref="A34:A35"/>
    <mergeCell ref="A38:A39"/>
    <mergeCell ref="B34:L34"/>
    <mergeCell ref="A3:N3"/>
    <mergeCell ref="A5:A7"/>
    <mergeCell ref="B5:B7"/>
    <mergeCell ref="C5:C7"/>
    <mergeCell ref="D5:D7"/>
    <mergeCell ref="E5:G5"/>
    <mergeCell ref="H5:H7"/>
    <mergeCell ref="I5:I7"/>
    <mergeCell ref="J5:J7"/>
    <mergeCell ref="K5:K7"/>
    <mergeCell ref="L5:L7"/>
    <mergeCell ref="M5:M7"/>
    <mergeCell ref="N5:N7"/>
    <mergeCell ref="F6:G6"/>
  </mergeCells>
  <conditionalFormatting sqref="D12">
    <cfRule type="iconSet" priority="1">
      <iconSet iconSet="4Arrows">
        <cfvo type="percent" val="0"/>
        <cfvo type="percent" val="25"/>
        <cfvo type="percent" val="50"/>
        <cfvo type="percent" val="75"/>
      </iconSet>
    </cfRule>
  </conditionalFormatting>
  <pageMargins left="0.55118110236220474" right="0.35433070866141736" top="0.74803149606299213" bottom="0.74803149606299213" header="0.51181102362204722" footer="0.31496062992125984"/>
  <pageSetup paperSize="9" scale="59" fitToHeight="0" orientation="landscape" r:id="rId1"/>
  <headerFooter>
    <oddHeader>&amp;C&amp;"Times New Roman,обычный" 5</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J19"/>
  <sheetViews>
    <sheetView tabSelected="1" topLeftCell="A10" zoomScaleNormal="100" zoomScaleSheetLayoutView="100" workbookViewId="0">
      <selection activeCell="H26" sqref="H26"/>
    </sheetView>
  </sheetViews>
  <sheetFormatPr defaultColWidth="8.85546875" defaultRowHeight="15" x14ac:dyDescent="0.25"/>
  <cols>
    <col min="1" max="1" width="5.140625" customWidth="1"/>
    <col min="2" max="2" width="30.5703125" customWidth="1"/>
    <col min="3" max="3" width="33.5703125" customWidth="1"/>
    <col min="4" max="4" width="15" customWidth="1"/>
    <col min="5" max="5" width="23.42578125" customWidth="1"/>
    <col min="6" max="6" width="16.140625" customWidth="1"/>
    <col min="7" max="7" width="17.42578125" customWidth="1"/>
    <col min="8" max="8" width="13.28515625" style="428" customWidth="1"/>
  </cols>
  <sheetData>
    <row r="1" spans="1:10" s="365" customFormat="1" ht="18.75" x14ac:dyDescent="0.3">
      <c r="A1" s="361"/>
      <c r="B1" s="362"/>
      <c r="C1" s="362"/>
      <c r="D1" s="363"/>
      <c r="E1" s="363"/>
      <c r="F1" s="364"/>
      <c r="G1" s="638" t="s">
        <v>919</v>
      </c>
      <c r="H1" s="638"/>
      <c r="I1" s="366"/>
    </row>
    <row r="2" spans="1:10" s="365" customFormat="1" ht="18.75" x14ac:dyDescent="0.3">
      <c r="A2" s="361"/>
      <c r="B2" s="362"/>
      <c r="C2" s="362"/>
      <c r="D2" s="363"/>
      <c r="E2" s="363"/>
      <c r="F2" s="364"/>
      <c r="G2" s="362"/>
      <c r="H2" s="363"/>
      <c r="I2" s="362"/>
    </row>
    <row r="3" spans="1:10" s="365" customFormat="1" ht="15.75" x14ac:dyDescent="0.25">
      <c r="A3" s="592" t="s">
        <v>1006</v>
      </c>
      <c r="B3" s="592"/>
      <c r="C3" s="592"/>
      <c r="D3" s="592"/>
      <c r="E3" s="592"/>
      <c r="F3" s="593"/>
      <c r="G3" s="593"/>
      <c r="H3" s="593"/>
      <c r="I3" s="593"/>
      <c r="J3" s="367"/>
    </row>
    <row r="4" spans="1:10" s="365" customFormat="1" ht="15.75" x14ac:dyDescent="0.25">
      <c r="A4" s="368"/>
      <c r="B4" s="356"/>
      <c r="C4" s="356"/>
      <c r="D4" s="356"/>
      <c r="E4" s="356"/>
      <c r="F4" s="369"/>
      <c r="G4" s="356"/>
      <c r="H4" s="359"/>
      <c r="I4" s="356"/>
    </row>
    <row r="5" spans="1:10" s="365" customFormat="1" ht="78" customHeight="1" x14ac:dyDescent="0.25">
      <c r="A5" s="370" t="s">
        <v>897</v>
      </c>
      <c r="B5" s="371" t="s">
        <v>920</v>
      </c>
      <c r="C5" s="371" t="s">
        <v>921</v>
      </c>
      <c r="D5" s="371" t="s">
        <v>922</v>
      </c>
      <c r="E5" s="371" t="s">
        <v>923</v>
      </c>
      <c r="F5" s="371" t="s">
        <v>924</v>
      </c>
      <c r="G5" s="371" t="s">
        <v>925</v>
      </c>
      <c r="H5" s="371" t="s">
        <v>926</v>
      </c>
      <c r="I5" s="356"/>
    </row>
    <row r="6" spans="1:10" s="365" customFormat="1" ht="15.75" x14ac:dyDescent="0.25">
      <c r="A6" s="372"/>
      <c r="B6" s="371"/>
      <c r="C6" s="371"/>
      <c r="D6" s="371">
        <v>0.3</v>
      </c>
      <c r="E6" s="371">
        <v>0.35</v>
      </c>
      <c r="F6" s="371">
        <v>0.35</v>
      </c>
      <c r="G6" s="371"/>
      <c r="H6" s="371"/>
      <c r="I6" s="356"/>
    </row>
    <row r="7" spans="1:10" s="365" customFormat="1" ht="81.75" customHeight="1" x14ac:dyDescent="0.25">
      <c r="A7" s="373">
        <v>1</v>
      </c>
      <c r="B7" s="410" t="s">
        <v>27</v>
      </c>
      <c r="C7" s="410" t="s">
        <v>941</v>
      </c>
      <c r="D7" s="421">
        <f>'11в. Отч пок '!M9</f>
        <v>0.99981991716189444</v>
      </c>
      <c r="E7" s="421">
        <f>'11в. Отч пок '!N9</f>
        <v>1.0398386283408978</v>
      </c>
      <c r="F7" s="421">
        <f>('11а. Отч мероп 01.01.2022'!I19+0.5*'11а. Отч мероп 01.01.2022'!I20)/'11а. Отч мероп 01.01.2022'!I18</f>
        <v>0.9285714285714286</v>
      </c>
      <c r="G7" s="421">
        <f>D7*0.3+(E7-3%)*0.35+F7*0.35</f>
        <v>0.97838949506788242</v>
      </c>
      <c r="H7" s="411" t="s">
        <v>1000</v>
      </c>
      <c r="I7" s="356"/>
    </row>
    <row r="8" spans="1:10" s="365" customFormat="1" ht="82.5" customHeight="1" x14ac:dyDescent="0.25">
      <c r="A8" s="372" t="s">
        <v>927</v>
      </c>
      <c r="B8" s="412" t="s">
        <v>938</v>
      </c>
      <c r="C8" s="410" t="s">
        <v>941</v>
      </c>
      <c r="D8" s="426">
        <f>'11в. Отч пок '!M14</f>
        <v>1.0022247270273585</v>
      </c>
      <c r="E8" s="426">
        <f>'11в. Отч пок '!N14</f>
        <v>1.0022247270273585</v>
      </c>
      <c r="F8" s="421">
        <f>('11а. Отч мероп 01.01.2022'!I39+0.5*'11а. Отч мероп 01.01.2022'!I40)/'11а. Отч мероп 01.01.2022'!I38</f>
        <v>1</v>
      </c>
      <c r="G8" s="421">
        <f t="shared" ref="G8:G12" si="0">D8*0.3+(E8-3%)*0.35+F8*0.35</f>
        <v>0.990946072567783</v>
      </c>
      <c r="H8" s="399" t="s">
        <v>1000</v>
      </c>
      <c r="I8" s="356"/>
    </row>
    <row r="9" spans="1:10" s="365" customFormat="1" ht="57" customHeight="1" x14ac:dyDescent="0.25">
      <c r="A9" s="372" t="s">
        <v>928</v>
      </c>
      <c r="B9" s="412" t="s">
        <v>985</v>
      </c>
      <c r="C9" s="398" t="s">
        <v>948</v>
      </c>
      <c r="D9" s="426">
        <f>'11в. Отч пок '!M20</f>
        <v>1</v>
      </c>
      <c r="E9" s="426">
        <f>'11в. Отч пок '!N20</f>
        <v>1</v>
      </c>
      <c r="F9" s="421">
        <f>('11а. Отч мероп 01.01.2022'!I93+0.5*'11а. Отч мероп 01.01.2022'!I95)/'11а. Отч мероп 01.01.2022'!I93</f>
        <v>1</v>
      </c>
      <c r="G9" s="421">
        <f t="shared" si="0"/>
        <v>0.98949999999999994</v>
      </c>
      <c r="H9" s="399" t="s">
        <v>1000</v>
      </c>
      <c r="I9" s="356"/>
    </row>
    <row r="10" spans="1:10" s="365" customFormat="1" ht="84.75" customHeight="1" x14ac:dyDescent="0.25">
      <c r="A10" s="372" t="s">
        <v>989</v>
      </c>
      <c r="B10" s="398" t="s">
        <v>986</v>
      </c>
      <c r="C10" s="398" t="s">
        <v>955</v>
      </c>
      <c r="D10" s="426">
        <f>'11в. Отч пок '!M26</f>
        <v>1.0277329952035557</v>
      </c>
      <c r="E10" s="426">
        <f>'11в. Отч пок '!N26</f>
        <v>1.4022220398488772</v>
      </c>
      <c r="F10" s="421">
        <f>('11а. Отч мероп 01.01.2022'!I139+0.5*'11а. Отч мероп 01.01.2022'!I140)/'11а. Отч мероп 01.01.2022'!I138</f>
        <v>1</v>
      </c>
      <c r="G10" s="421">
        <f t="shared" si="0"/>
        <v>1.1385976125081736</v>
      </c>
      <c r="H10" s="399" t="s">
        <v>1000</v>
      </c>
      <c r="I10" s="356"/>
    </row>
    <row r="11" spans="1:10" s="365" customFormat="1" ht="42" customHeight="1" x14ac:dyDescent="0.25">
      <c r="A11" s="372" t="s">
        <v>990</v>
      </c>
      <c r="B11" s="412" t="s">
        <v>965</v>
      </c>
      <c r="C11" s="412" t="s">
        <v>885</v>
      </c>
      <c r="D11" s="426">
        <f>'11в. Отч пок '!M34</f>
        <v>1</v>
      </c>
      <c r="E11" s="426">
        <f>'11в. Отч пок '!N34</f>
        <v>1</v>
      </c>
      <c r="F11" s="421">
        <f>('11а. Отч мероп 01.01.2022'!I249+0.5*'11а. Отч мероп 01.01.2022'!I250)/'11а. Отч мероп 01.01.2022'!I248</f>
        <v>1</v>
      </c>
      <c r="G11" s="421">
        <f t="shared" si="0"/>
        <v>0.98949999999999994</v>
      </c>
      <c r="H11" s="399" t="s">
        <v>1000</v>
      </c>
      <c r="I11" s="356"/>
    </row>
    <row r="12" spans="1:10" s="365" customFormat="1" ht="103.5" customHeight="1" x14ac:dyDescent="0.25">
      <c r="A12" s="372" t="s">
        <v>991</v>
      </c>
      <c r="B12" s="412" t="s">
        <v>987</v>
      </c>
      <c r="C12" s="398" t="s">
        <v>992</v>
      </c>
      <c r="D12" s="426">
        <f>'11в. Отч пок '!M38</f>
        <v>0.8891016323150539</v>
      </c>
      <c r="E12" s="426">
        <f>'11в. Отч пок '!N38</f>
        <v>0.83813555997077083</v>
      </c>
      <c r="F12" s="421">
        <f>('11а. Отч мероп 01.01.2022'!I299+0.5*'11а. Отч мероп 01.01.2022'!I300)/'11а. Отч мероп 01.01.2022'!I298</f>
        <v>0.75</v>
      </c>
      <c r="G12" s="421">
        <f t="shared" si="0"/>
        <v>0.81207793568428588</v>
      </c>
      <c r="H12" s="399" t="s">
        <v>1001</v>
      </c>
      <c r="I12" s="356"/>
    </row>
    <row r="13" spans="1:10" s="365" customFormat="1" ht="15.75" x14ac:dyDescent="0.25">
      <c r="A13" s="374"/>
      <c r="B13" s="356"/>
      <c r="C13" s="356"/>
      <c r="D13" s="356"/>
      <c r="E13" s="356"/>
      <c r="F13" s="369"/>
      <c r="G13" s="356"/>
      <c r="H13" s="359"/>
      <c r="I13" s="356"/>
    </row>
    <row r="14" spans="1:10" s="365" customFormat="1" ht="15.75" x14ac:dyDescent="0.25">
      <c r="A14" s="368" t="s">
        <v>929</v>
      </c>
      <c r="B14" s="356"/>
      <c r="C14" s="356"/>
      <c r="D14" s="356"/>
      <c r="E14" s="356"/>
      <c r="F14" s="369"/>
      <c r="G14" s="356"/>
      <c r="H14" s="359"/>
      <c r="I14" s="356"/>
    </row>
    <row r="15" spans="1:10" s="365" customFormat="1" ht="15.75" x14ac:dyDescent="0.25">
      <c r="A15" s="375"/>
      <c r="F15" s="376"/>
      <c r="H15" s="427"/>
    </row>
    <row r="16" spans="1:10" ht="45" hidden="1" x14ac:dyDescent="0.25">
      <c r="B16" s="162" t="s">
        <v>1002</v>
      </c>
      <c r="C16" s="637"/>
      <c r="D16" s="636" t="s">
        <v>1005</v>
      </c>
    </row>
    <row r="17" spans="2:5" hidden="1" x14ac:dyDescent="0.25">
      <c r="B17" s="2"/>
      <c r="C17" s="2"/>
      <c r="D17" s="2"/>
      <c r="E17" s="2"/>
    </row>
    <row r="18" spans="2:5" hidden="1" x14ac:dyDescent="0.25">
      <c r="B18" s="636" t="s">
        <v>183</v>
      </c>
      <c r="C18" s="2"/>
      <c r="D18" s="2"/>
      <c r="E18" s="2"/>
    </row>
    <row r="19" spans="2:5" hidden="1" x14ac:dyDescent="0.25"/>
  </sheetData>
  <mergeCells count="2">
    <mergeCell ref="A3:I3"/>
    <mergeCell ref="G1:H1"/>
  </mergeCells>
  <pageMargins left="0.70866141732283472" right="0.70866141732283472" top="0.74803149606299213" bottom="0.74803149606299213" header="0.31496062992125984" footer="0.31496062992125984"/>
  <pageSetup paperSize="9" scale="84" fitToHeight="0" orientation="landscape" r:id="rId1"/>
  <headerFooter>
    <oddHeader>&amp;C&amp;"Times New Roman,обычный" 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11а. Отч мероп 01.07.21</vt:lpstr>
      <vt:lpstr>11а. Отч мероп 01.10.21 </vt:lpstr>
      <vt:lpstr>без учета счетов бюджета</vt:lpstr>
      <vt:lpstr>11а. Отч мероп 01.01.2022</vt:lpstr>
      <vt:lpstr>31 12 2021</vt:lpstr>
      <vt:lpstr>ЦСР</vt:lpstr>
      <vt:lpstr>11в. Отч пок </vt:lpstr>
      <vt:lpstr>11г Оц эф</vt:lpstr>
      <vt:lpstr>'11а. Отч мероп 01.01.2022'!Заголовки_для_печати</vt:lpstr>
      <vt:lpstr>'11а. Отч мероп 01.07.21'!Заголовки_для_печати</vt:lpstr>
      <vt:lpstr>'11а. Отч мероп 01.10.21 '!Заголовки_для_печати</vt:lpstr>
      <vt:lpstr>'без учета счетов бюджета'!Заголовки_для_печати</vt:lpstr>
      <vt:lpstr>ЦСР!Заголовки_для_печати</vt:lpstr>
      <vt:lpstr>'11а. Отч мероп 01.01.2022'!Область_печати</vt:lpstr>
      <vt:lpstr>'11а. Отч мероп 01.07.21'!Область_печати</vt:lpstr>
      <vt:lpstr>'11а. Отч мероп 01.10.21 '!Область_печати</vt:lpstr>
      <vt:lpstr>'11г Оц эф'!Область_печати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Законова Елена Владимировна</dc:creator>
  <cp:lastModifiedBy>Законова Елена Владимировна</cp:lastModifiedBy>
  <cp:lastPrinted>2022-04-05T07:39:30Z</cp:lastPrinted>
  <dcterms:created xsi:type="dcterms:W3CDTF">2021-07-12T08:10:36Z</dcterms:created>
  <dcterms:modified xsi:type="dcterms:W3CDTF">2022-04-05T09:21:05Z</dcterms:modified>
</cp:coreProperties>
</file>