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05" windowWidth="15120" windowHeight="7710"/>
  </bookViews>
  <sheets>
    <sheet name="Показатель 1" sheetId="2" r:id="rId1"/>
    <sheet name="Показатель 2" sheetId="4" r:id="rId2"/>
    <sheet name="Показатель 3" sheetId="3" r:id="rId3"/>
    <sheet name="Показатель 4" sheetId="15" r:id="rId4"/>
    <sheet name="Показатель 5" sheetId="17" r:id="rId5"/>
    <sheet name="Показатель 6" sheetId="19" r:id="rId6"/>
    <sheet name="Показатель 7" sheetId="21" r:id="rId7"/>
    <sheet name="Показатель 8" sheetId="12" r:id="rId8"/>
    <sheet name="Показатель 9" sheetId="23" r:id="rId9"/>
    <sheet name="Рейтинг ГАБС" sheetId="13" r:id="rId10"/>
  </sheets>
  <definedNames>
    <definedName name="_xlnm._FilterDatabase" localSheetId="0" hidden="1">'Показатель 1'!$A$8:$R$17</definedName>
    <definedName name="_xlnm._FilterDatabase" localSheetId="1" hidden="1">'Показатель 2'!$A$4:$N$13</definedName>
    <definedName name="_xlnm._FilterDatabase" localSheetId="2" hidden="1">'Показатель 3'!$A$5:$Q$12</definedName>
    <definedName name="_xlnm._FilterDatabase" localSheetId="3" hidden="1">'Показатель 4'!$A$5:$M$12</definedName>
    <definedName name="_xlnm._FilterDatabase" localSheetId="4" hidden="1">'Показатель 5'!$A$5:$G$12</definedName>
    <definedName name="_xlnm._FilterDatabase" localSheetId="5" hidden="1">'Показатель 6'!$A$5:$I$12</definedName>
    <definedName name="_xlnm._FilterDatabase" localSheetId="6" hidden="1">'Показатель 7'!$A$4:$N$13</definedName>
    <definedName name="_xlnm._FilterDatabase" localSheetId="7" hidden="1">'Показатель 8'!$A$5:$M$12</definedName>
    <definedName name="_xlnm._FilterDatabase" localSheetId="8" hidden="1">'Показатель 9'!$A$5:$M$12</definedName>
  </definedNames>
  <calcPr calcId="125725"/>
</workbook>
</file>

<file path=xl/calcChain.xml><?xml version="1.0" encoding="utf-8"?>
<calcChain xmlns="http://schemas.openxmlformats.org/spreadsheetml/2006/main">
  <c r="C14" i="13"/>
  <c r="M8" i="4"/>
  <c r="K7" i="23"/>
  <c r="K8"/>
  <c r="K6"/>
  <c r="M9" i="13"/>
  <c r="M8"/>
  <c r="M7"/>
  <c r="L9"/>
  <c r="L8"/>
  <c r="L7"/>
  <c r="K9"/>
  <c r="K8"/>
  <c r="K7"/>
  <c r="J9"/>
  <c r="J8"/>
  <c r="J7"/>
  <c r="I9"/>
  <c r="I8"/>
  <c r="I7"/>
  <c r="H9"/>
  <c r="H8"/>
  <c r="H7"/>
  <c r="G9"/>
  <c r="G8"/>
  <c r="G7"/>
  <c r="F8"/>
  <c r="F7"/>
  <c r="E9"/>
  <c r="E8"/>
  <c r="E7"/>
  <c r="O15" i="2"/>
  <c r="O16"/>
  <c r="O14"/>
  <c r="M11" i="4"/>
  <c r="M12"/>
  <c r="M10"/>
  <c r="K11" i="12"/>
  <c r="K12"/>
  <c r="K10"/>
  <c r="K7"/>
  <c r="K8"/>
  <c r="K6"/>
  <c r="M7" i="21"/>
  <c r="M8"/>
  <c r="M6"/>
  <c r="G11" i="19"/>
  <c r="G7"/>
  <c r="G8"/>
  <c r="G6"/>
  <c r="E11" i="17"/>
  <c r="E12"/>
  <c r="E10"/>
  <c r="E7"/>
  <c r="E8"/>
  <c r="E6"/>
  <c r="K11" i="15"/>
  <c r="K12"/>
  <c r="K10"/>
  <c r="K7"/>
  <c r="K8"/>
  <c r="K6"/>
  <c r="O12" i="3"/>
  <c r="O11"/>
  <c r="O10"/>
  <c r="O8"/>
  <c r="O7"/>
  <c r="O6"/>
  <c r="M7" i="4"/>
  <c r="D8"/>
  <c r="M6"/>
  <c r="O12" i="2"/>
  <c r="O11"/>
  <c r="O10"/>
  <c r="G11" i="13"/>
  <c r="D10" i="2"/>
  <c r="J12" i="13" l="1"/>
  <c r="L13" l="1"/>
  <c r="L12"/>
  <c r="L11"/>
  <c r="I13"/>
  <c r="I12"/>
  <c r="I11"/>
  <c r="H13"/>
  <c r="H12"/>
  <c r="H11"/>
  <c r="G13"/>
  <c r="G12"/>
  <c r="F13"/>
  <c r="F12"/>
  <c r="F11"/>
  <c r="E13"/>
  <c r="E12"/>
  <c r="C12" s="1"/>
  <c r="E11"/>
  <c r="C7"/>
  <c r="C11" l="1"/>
  <c r="C13"/>
  <c r="D10" i="12"/>
  <c r="L7" i="21" l="1"/>
  <c r="H7"/>
  <c r="D7"/>
  <c r="D8"/>
  <c r="F8"/>
  <c r="F7"/>
  <c r="D11" i="17"/>
  <c r="D12"/>
  <c r="D10"/>
  <c r="D7"/>
  <c r="D8"/>
  <c r="D6"/>
  <c r="N10" i="3"/>
  <c r="F10"/>
  <c r="N8"/>
  <c r="J8"/>
  <c r="F8"/>
  <c r="F7"/>
  <c r="J10" i="4"/>
  <c r="H10"/>
  <c r="H12"/>
  <c r="H11"/>
  <c r="J12"/>
  <c r="J11"/>
  <c r="D11"/>
  <c r="C8" i="13" l="1"/>
  <c r="J7" i="23"/>
  <c r="J8"/>
  <c r="J6"/>
  <c r="H7"/>
  <c r="H8"/>
  <c r="H6"/>
  <c r="F7"/>
  <c r="F8"/>
  <c r="F6"/>
  <c r="D7"/>
  <c r="D8"/>
  <c r="D6"/>
  <c r="L8" i="21"/>
  <c r="J8"/>
  <c r="J7"/>
  <c r="H8"/>
  <c r="L6"/>
  <c r="J6"/>
  <c r="F6"/>
  <c r="D6"/>
  <c r="H6"/>
  <c r="F7" i="19"/>
  <c r="F8"/>
  <c r="F6"/>
  <c r="D7"/>
  <c r="D8"/>
  <c r="D6"/>
  <c r="F11"/>
  <c r="D11"/>
  <c r="D11" i="15"/>
  <c r="D12"/>
  <c r="D10"/>
  <c r="F11"/>
  <c r="F12"/>
  <c r="F10"/>
  <c r="J7"/>
  <c r="J8"/>
  <c r="J6"/>
  <c r="H8"/>
  <c r="H7"/>
  <c r="H6"/>
  <c r="F8"/>
  <c r="F7"/>
  <c r="D7"/>
  <c r="D8"/>
  <c r="D6"/>
  <c r="F6"/>
  <c r="N11" i="3"/>
  <c r="N12"/>
  <c r="N7"/>
  <c r="L11"/>
  <c r="L12"/>
  <c r="L7"/>
  <c r="J7"/>
  <c r="H6"/>
  <c r="F11"/>
  <c r="F12"/>
  <c r="F6"/>
  <c r="J6"/>
  <c r="L6" i="4"/>
  <c r="L7"/>
  <c r="L8"/>
  <c r="J7"/>
  <c r="J8"/>
  <c r="J6"/>
  <c r="H7"/>
  <c r="H8"/>
  <c r="H6"/>
  <c r="F7"/>
  <c r="F8"/>
  <c r="F9" i="13" s="1"/>
  <c r="C9" s="1"/>
  <c r="F6" i="4"/>
  <c r="D12"/>
  <c r="D10"/>
  <c r="D14" i="2"/>
  <c r="D7" i="4"/>
  <c r="D6"/>
  <c r="J15" i="2"/>
  <c r="J16"/>
  <c r="J14"/>
  <c r="H15"/>
  <c r="H16"/>
  <c r="H14"/>
  <c r="F15"/>
  <c r="F16"/>
  <c r="F14"/>
  <c r="D15"/>
  <c r="D16"/>
  <c r="N11"/>
  <c r="N12"/>
  <c r="N10"/>
  <c r="L11"/>
  <c r="L12"/>
  <c r="L10"/>
  <c r="H12"/>
  <c r="H11"/>
  <c r="H10"/>
  <c r="F11"/>
  <c r="F12"/>
  <c r="F10"/>
  <c r="D12" l="1"/>
  <c r="F10" i="12" l="1"/>
  <c r="D11"/>
  <c r="D12"/>
  <c r="D6"/>
  <c r="H6"/>
  <c r="F6"/>
  <c r="F12"/>
  <c r="F11"/>
  <c r="J7"/>
  <c r="J8"/>
  <c r="J6"/>
  <c r="H7"/>
  <c r="H8"/>
  <c r="F7"/>
  <c r="F8"/>
  <c r="D11" i="2"/>
  <c r="N6" i="3"/>
  <c r="L6"/>
  <c r="D6"/>
  <c r="J11" i="2" l="1"/>
  <c r="J12"/>
  <c r="J10"/>
</calcChain>
</file>

<file path=xl/sharedStrings.xml><?xml version="1.0" encoding="utf-8"?>
<sst xmlns="http://schemas.openxmlformats.org/spreadsheetml/2006/main" count="420" uniqueCount="80">
  <si>
    <t>Код ведомства</t>
  </si>
  <si>
    <t>Наименование ГАБС</t>
  </si>
  <si>
    <t>нет</t>
  </si>
  <si>
    <t>1. Финансовое планирование</t>
  </si>
  <si>
    <t xml:space="preserve">3.2. Эффективность управления дебиторской задолженностью по расчетам с дебиторами по доходам
</t>
  </si>
  <si>
    <t>3. Исполнение бюджета по доходам</t>
  </si>
  <si>
    <t>х</t>
  </si>
  <si>
    <t xml:space="preserve"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
</t>
  </si>
  <si>
    <t>1.2. Погрешность кассового планирования</t>
  </si>
  <si>
    <t xml:space="preserve">1.3. Количество обращений об изменении сводной бюджетной росписи местного бюджета 
</t>
  </si>
  <si>
    <t xml:space="preserve">1.4. Своевременность представления фрагментов реестра расходных обязательств в Управление финансов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</si>
  <si>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>1 Группа</t>
  </si>
  <si>
    <t>2 Группа</t>
  </si>
  <si>
    <t>Администрация ЗАТО Александровск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</si>
  <si>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</si>
  <si>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</si>
  <si>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</si>
  <si>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Совет депутатов ЗАТО Александровск</t>
  </si>
  <si>
    <t>Контрольно-счетная палата ЗАТО Александровск</t>
  </si>
  <si>
    <t>Оценка
(E)</t>
  </si>
  <si>
    <t>Значение оценки Е(Р)</t>
  </si>
  <si>
    <t>Итоговая оценка по группе</t>
  </si>
  <si>
    <t xml:space="preserve">3.1.Отклонение от прогноза поступлений налоговых и неналоговых доходов за отчетный период
</t>
  </si>
  <si>
    <t>3.3.Эффективность управления дебиторской задолженностью по администрируемым неналоговым доходам</t>
  </si>
  <si>
    <t>8. Исполнение судебных актов</t>
  </si>
  <si>
    <t xml:space="preserve">8.2 Иски о возмещении ущерба (в количественном выражении)
</t>
  </si>
  <si>
    <t>8.3 Иски о взыскании задолженности (в денежном выражении)</t>
  </si>
  <si>
    <t>8.4 Иски о взыскании задолженности (в количественном выражении)</t>
  </si>
  <si>
    <t>I  Группа - ГАБС, имеющие подведомственные учреждения</t>
  </si>
  <si>
    <t xml:space="preserve">II Группа  - ГАБС, не имеющие подведомственные учреждения </t>
  </si>
  <si>
    <t>2. Исполнение бюджета по расходам</t>
  </si>
  <si>
    <t>Средний уровень качества                                  финансового менеджмента ,%</t>
  </si>
  <si>
    <t>1.6.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администрации ЗАТО Александровс</t>
  </si>
  <si>
    <t>2.1. Доля просроченной кредиторской
задолженности в расходах ГАБС</t>
  </si>
  <si>
    <t>Результаты проведения мониторинга качества финансового менеджмента,</t>
  </si>
  <si>
    <t>Финансовое планирование</t>
  </si>
  <si>
    <t>Исполнение бюджета по доходам</t>
  </si>
  <si>
    <t>Исполнение судебных актов</t>
  </si>
  <si>
    <t>Исполнение бюджета по расходам</t>
  </si>
  <si>
    <t>Итоговая оценка
качества финансового менеджмента</t>
  </si>
  <si>
    <t>Рейтинговая оценка                 ГАБС</t>
  </si>
  <si>
    <t>Итоговая оценка по группам показателей качества финансового менеджмента</t>
  </si>
  <si>
    <t>1.5. 1.5. Доля муниципальных бюджетных и муниципальных автономных учреждений, в отношении которых ГАБС осуществляет функции и полномочия учредителя, выполнивших муниципальное задание на 100% в отчетном финансовом году</t>
  </si>
  <si>
    <t>2.3. Равномерность расходов</t>
  </si>
  <si>
    <t>2.4. Доля просроченной кредиторской
задолженности в расходах ГАБС</t>
  </si>
  <si>
    <t>2.5.Доля просроченной кредиторской задолженности в расходах муниципальных казенных, муниципальных бюджетных и муниципальных автономных учреждений</t>
  </si>
  <si>
    <t>2.2. Уровень исполнения расходов ГАБС, источником финансового обеспечения которых являются межбюджетные трансферты из федерального и областного бюджетов</t>
  </si>
  <si>
    <t>3.4.Прирост объема доходов от платных услуг и
иной приносящей доход деятельности
муниципальных бюджетных и муниципальных автономных учреждений</t>
  </si>
  <si>
    <t xml:space="preserve">3.5.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</si>
  <si>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3.6. Качество правовой базы главного администратора доходов местного бюджета по администрированию доходов</t>
  </si>
  <si>
    <t xml:space="preserve"> 4. Учет и отчетность</t>
  </si>
  <si>
    <t xml:space="preserve">4.1.Своевременность представления бюджетной отчетности ГАБС
</t>
  </si>
  <si>
    <t xml:space="preserve">4.2.Качество представления бюджетной отчетности ГАБС
</t>
  </si>
  <si>
    <t xml:space="preserve">4.3. Своевременность представления сводной бухгалтерской отчетности ГАБС, осуществляющих функции учредителя в отношении муниципальных бюджетных и муниципальных автономных учреждений </t>
  </si>
  <si>
    <t xml:space="preserve">4.4. Качество представления сводной бухгалтерской отчетности ГАБС, осуществляющих функции учредителей в отношении муниципальных бюджетных и муниципальных автономных учреждений </t>
  </si>
  <si>
    <t xml:space="preserve"> 5. Качество управления активами</t>
  </si>
  <si>
    <t>5.1.Доля недостач и хищений денежных средств и материальных ценностей</t>
  </si>
  <si>
    <t>6. Качество планирования в сфере закупок</t>
  </si>
  <si>
    <t>6.1. Доля изменений в план - график закупок в расчете на одну закупку</t>
  </si>
  <si>
    <t>6.2. Качество размещения заказа на закупки товаров, работ, услуг для обеспечения муниципальных нужд</t>
  </si>
  <si>
    <t xml:space="preserve">        7. Контроль и аудит</t>
  </si>
  <si>
    <t xml:space="preserve">7.1. Наличие  нарушений, выявленных в результате проведения контрольных мероприятий органами внешнего государственного (муниципального) финансового контроля </t>
  </si>
  <si>
    <t xml:space="preserve">7.2  Наличие  нарушений, выявленных в результате проведения мероприятий внутреннего государственного (муниципального) финансового контроля </t>
  </si>
  <si>
    <t>7.3. Качество организации внутреннего финансового аудита</t>
  </si>
  <si>
    <t>7.4. Проведение ГАБС мониторинга качества финансового менеджмента в отношении подведомственных ему получателей бюджетных средств</t>
  </si>
  <si>
    <t>7.5. Качество контроля ГАБС за деятельностью муниципальных учреждений в отношении которых ГАБС осуществляет функции и полномочия учредителя</t>
  </si>
  <si>
    <t>8.1 Иски о возмещении ущерба (в денежном выражении)</t>
  </si>
  <si>
    <t xml:space="preserve">   9. Уровень открытости бюджетных данных</t>
  </si>
  <si>
    <t>9.1 Доля муниципальных бюджетных и муниципальных автономных учреждений,
опубликовавших на официальном сайте для
размещения информации о муниципальных
учреждениях (bus.gov.ru) (далее - сайте bus.gov.ru) информацию об исполнении муниципального задания на оказание муниципальных услуг (выполнение работ) за отчетный год</t>
  </si>
  <si>
    <t>9.2 Доля муниципальных казенных, муниципальных бюджетных и муниципальных автономных учреждений, опубликовавших на сайте bus.gov.ru информацию о показателях бюджетной сметы (для казенных учреждений), плане финансово-хозяйственной деятельности (для бюджетных и автономных учреждений) на отчетный год</t>
  </si>
  <si>
    <t>9.3 Доля муниципальных казенных учреждений,
подведомственных ГАБС (далее - муниципальных казенные учреждения),
муниципальных бюджетных и муниципальных автономных учреждений, опубликовавших на сайте bus.gov.ru отчеты о результатах деятельности и об использовании закрепленного за ними муниципального имущества за год, предшествующий отчетному</t>
  </si>
  <si>
    <t>9.4 Доля муниципальных казенных, муниципальных бюджетных и муниципальных автономных учреждений, опубликовавших на сайте bus.gov.ru информацию о годовой бухгалтерской
отчетности учреждения за год, предшествующий отчетному</t>
  </si>
  <si>
    <t>Учет и отчетность</t>
  </si>
  <si>
    <t>Качество управления активами</t>
  </si>
  <si>
    <t>Качество планирования в сфере закупок</t>
  </si>
  <si>
    <t>Контроль и аудит</t>
  </si>
  <si>
    <t>Уровень открытости бюджетных данных</t>
  </si>
  <si>
    <t>за 2021 год</t>
  </si>
  <si>
    <t>Рейтинг главных администраторов средств местного бюджета бюджета ЗАТО Александровск  по уровню итоговой оценки качества финансового менеджмента                                                                                                                за 2021 год</t>
  </si>
  <si>
    <t xml:space="preserve">                                                                       осуществляемого главными администраторами средств местного бюджета ЗАТО Александровск,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</si>
</sst>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5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65" fontId="6" fillId="2" borderId="3" xfId="0" applyNumberFormat="1" applyFont="1" applyFill="1" applyBorder="1"/>
    <xf numFmtId="165" fontId="6" fillId="2" borderId="4" xfId="0" applyNumberFormat="1" applyFont="1" applyFill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166" fontId="6" fillId="2" borderId="4" xfId="0" applyNumberFormat="1" applyFont="1" applyFill="1" applyBorder="1" applyAlignment="1">
      <alignment horizontal="right"/>
    </xf>
    <xf numFmtId="166" fontId="6" fillId="2" borderId="3" xfId="0" applyNumberFormat="1" applyFont="1" applyFill="1" applyBorder="1"/>
    <xf numFmtId="166" fontId="6" fillId="2" borderId="3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5" fontId="0" fillId="0" borderId="0" xfId="0" applyNumberFormat="1"/>
    <xf numFmtId="165" fontId="6" fillId="0" borderId="0" xfId="0" applyNumberFormat="1" applyFont="1"/>
    <xf numFmtId="0" fontId="0" fillId="0" borderId="0" xfId="0" applyFont="1"/>
    <xf numFmtId="4" fontId="6" fillId="2" borderId="4" xfId="0" applyNumberFormat="1" applyFont="1" applyFill="1" applyBorder="1" applyAlignment="1">
      <alignment horizontal="right"/>
    </xf>
    <xf numFmtId="2" fontId="6" fillId="2" borderId="3" xfId="0" applyNumberFormat="1" applyFont="1" applyFill="1" applyBorder="1"/>
    <xf numFmtId="2" fontId="6" fillId="2" borderId="4" xfId="0" applyNumberFormat="1" applyFont="1" applyFill="1" applyBorder="1"/>
    <xf numFmtId="2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2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3" xfId="0" applyNumberFormat="1" applyFont="1" applyFill="1" applyBorder="1" applyAlignment="1">
      <alignment horizontal="right"/>
    </xf>
    <xf numFmtId="166" fontId="6" fillId="2" borderId="1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2" fontId="6" fillId="2" borderId="13" xfId="0" applyNumberFormat="1" applyFont="1" applyFill="1" applyBorder="1"/>
    <xf numFmtId="165" fontId="6" fillId="2" borderId="13" xfId="0" applyNumberFormat="1" applyFont="1" applyFill="1" applyBorder="1"/>
    <xf numFmtId="165" fontId="6" fillId="2" borderId="13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166" fontId="6" fillId="2" borderId="12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165" fontId="21" fillId="8" borderId="3" xfId="0" applyNumberFormat="1" applyFont="1" applyFill="1" applyBorder="1" applyAlignment="1">
      <alignment horizontal="center" vertical="center" wrapText="1"/>
    </xf>
    <xf numFmtId="1" fontId="22" fillId="9" borderId="4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65" fontId="6" fillId="8" borderId="3" xfId="0" applyNumberFormat="1" applyFont="1" applyFill="1" applyBorder="1" applyAlignment="1">
      <alignment vertical="center"/>
    </xf>
    <xf numFmtId="0" fontId="22" fillId="8" borderId="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165" fontId="6" fillId="8" borderId="15" xfId="0" applyNumberFormat="1" applyFont="1" applyFill="1" applyBorder="1" applyAlignment="1">
      <alignment vertical="center"/>
    </xf>
    <xf numFmtId="165" fontId="6" fillId="8" borderId="5" xfId="0" applyNumberFormat="1" applyFont="1" applyFill="1" applyBorder="1" applyAlignment="1">
      <alignment vertical="center"/>
    </xf>
    <xf numFmtId="165" fontId="6" fillId="8" borderId="17" xfId="0" applyNumberFormat="1" applyFont="1" applyFill="1" applyBorder="1" applyAlignment="1">
      <alignment vertical="center"/>
    </xf>
    <xf numFmtId="165" fontId="6" fillId="8" borderId="18" xfId="0" applyNumberFormat="1" applyFont="1" applyFill="1" applyBorder="1" applyAlignment="1">
      <alignment vertical="center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165" fontId="21" fillId="8" borderId="20" xfId="0" applyNumberFormat="1" applyFont="1" applyFill="1" applyBorder="1" applyAlignment="1">
      <alignment horizontal="center" vertical="center" wrapText="1"/>
    </xf>
    <xf numFmtId="1" fontId="22" fillId="7" borderId="20" xfId="0" applyNumberFormat="1" applyFont="1" applyFill="1" applyBorder="1" applyAlignment="1">
      <alignment horizontal="center" vertical="center" wrapText="1"/>
    </xf>
    <xf numFmtId="165" fontId="6" fillId="8" borderId="20" xfId="0" applyNumberFormat="1" applyFont="1" applyFill="1" applyBorder="1" applyAlignment="1">
      <alignment vertical="center"/>
    </xf>
    <xf numFmtId="165" fontId="6" fillId="8" borderId="21" xfId="0" applyNumberFormat="1" applyFont="1" applyFill="1" applyBorder="1" applyAlignment="1">
      <alignment vertical="center"/>
    </xf>
    <xf numFmtId="0" fontId="22" fillId="8" borderId="22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165" fontId="21" fillId="8" borderId="23" xfId="0" applyNumberFormat="1" applyFont="1" applyFill="1" applyBorder="1" applyAlignment="1">
      <alignment horizontal="center" vertical="center" wrapText="1"/>
    </xf>
    <xf numFmtId="1" fontId="22" fillId="4" borderId="24" xfId="0" applyNumberFormat="1" applyFont="1" applyFill="1" applyBorder="1" applyAlignment="1">
      <alignment horizontal="center" vertical="center" wrapText="1"/>
    </xf>
    <xf numFmtId="165" fontId="6" fillId="8" borderId="23" xfId="0" applyNumberFormat="1" applyFont="1" applyFill="1" applyBorder="1" applyAlignment="1">
      <alignment vertical="center"/>
    </xf>
    <xf numFmtId="165" fontId="6" fillId="8" borderId="25" xfId="0" applyNumberFormat="1" applyFont="1" applyFill="1" applyBorder="1" applyAlignment="1">
      <alignment vertical="center"/>
    </xf>
    <xf numFmtId="0" fontId="22" fillId="8" borderId="26" xfId="0" applyFont="1" applyFill="1" applyBorder="1" applyAlignment="1">
      <alignment horizontal="center" vertical="center" wrapText="1"/>
    </xf>
    <xf numFmtId="165" fontId="4" fillId="6" borderId="9" xfId="0" applyNumberFormat="1" applyFont="1" applyFill="1" applyBorder="1" applyAlignment="1">
      <alignment horizontal="center" vertical="center"/>
    </xf>
    <xf numFmtId="165" fontId="4" fillId="6" borderId="9" xfId="0" applyNumberFormat="1" applyFont="1" applyFill="1" applyBorder="1" applyAlignment="1">
      <alignment vertical="center"/>
    </xf>
    <xf numFmtId="165" fontId="4" fillId="6" borderId="8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left" wrapText="1"/>
    </xf>
    <xf numFmtId="4" fontId="6" fillId="2" borderId="23" xfId="0" applyNumberFormat="1" applyFont="1" applyFill="1" applyBorder="1" applyAlignment="1">
      <alignment horizontal="right"/>
    </xf>
    <xf numFmtId="166" fontId="6" fillId="2" borderId="24" xfId="0" applyNumberFormat="1" applyFont="1" applyFill="1" applyBorder="1" applyAlignment="1">
      <alignment horizontal="right"/>
    </xf>
    <xf numFmtId="4" fontId="6" fillId="2" borderId="24" xfId="0" applyNumberFormat="1" applyFont="1" applyFill="1" applyBorder="1" applyAlignment="1">
      <alignment horizontal="right"/>
    </xf>
    <xf numFmtId="2" fontId="6" fillId="2" borderId="24" xfId="0" applyNumberFormat="1" applyFont="1" applyFill="1" applyBorder="1" applyAlignment="1">
      <alignment horizontal="right"/>
    </xf>
    <xf numFmtId="165" fontId="6" fillId="2" borderId="23" xfId="0" applyNumberFormat="1" applyFont="1" applyFill="1" applyBorder="1"/>
    <xf numFmtId="165" fontId="6" fillId="2" borderId="24" xfId="0" applyNumberFormat="1" applyFont="1" applyFill="1" applyBorder="1"/>
    <xf numFmtId="1" fontId="22" fillId="9" borderId="24" xfId="0" applyNumberFormat="1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/>
    <xf numFmtId="165" fontId="6" fillId="2" borderId="15" xfId="0" applyNumberFormat="1" applyFont="1" applyFill="1" applyBorder="1"/>
    <xf numFmtId="165" fontId="6" fillId="2" borderId="29" xfId="0" applyNumberFormat="1" applyFont="1" applyFill="1" applyBorder="1"/>
    <xf numFmtId="165" fontId="6" fillId="2" borderId="15" xfId="0" applyNumberFormat="1" applyFont="1" applyFill="1" applyBorder="1" applyAlignment="1">
      <alignment horizontal="right"/>
    </xf>
    <xf numFmtId="165" fontId="6" fillId="2" borderId="18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4" fontId="6" fillId="2" borderId="20" xfId="0" applyNumberFormat="1" applyFont="1" applyFill="1" applyBorder="1" applyAlignment="1">
      <alignment horizontal="right"/>
    </xf>
    <xf numFmtId="166" fontId="6" fillId="2" borderId="20" xfId="0" applyNumberFormat="1" applyFont="1" applyFill="1" applyBorder="1" applyAlignment="1">
      <alignment horizontal="right"/>
    </xf>
    <xf numFmtId="165" fontId="6" fillId="2" borderId="17" xfId="0" applyNumberFormat="1" applyFont="1" applyFill="1" applyBorder="1"/>
    <xf numFmtId="165" fontId="6" fillId="2" borderId="15" xfId="0" applyNumberFormat="1" applyFont="1" applyFill="1" applyBorder="1" applyAlignment="1">
      <alignment wrapText="1"/>
    </xf>
    <xf numFmtId="165" fontId="6" fillId="3" borderId="15" xfId="0" applyNumberFormat="1" applyFont="1" applyFill="1" applyBorder="1"/>
    <xf numFmtId="2" fontId="6" fillId="2" borderId="24" xfId="0" applyNumberFormat="1" applyFont="1" applyFill="1" applyBorder="1"/>
    <xf numFmtId="2" fontId="6" fillId="2" borderId="24" xfId="0" applyNumberFormat="1" applyFont="1" applyFill="1" applyBorder="1" applyAlignment="1">
      <alignment horizontal="right" vertical="center"/>
    </xf>
    <xf numFmtId="165" fontId="6" fillId="2" borderId="18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wrapText="1"/>
    </xf>
    <xf numFmtId="166" fontId="6" fillId="2" borderId="20" xfId="0" applyNumberFormat="1" applyFont="1" applyFill="1" applyBorder="1"/>
    <xf numFmtId="0" fontId="5" fillId="2" borderId="32" xfId="0" applyFont="1" applyFill="1" applyBorder="1" applyAlignment="1">
      <alignment horizontal="left" wrapText="1"/>
    </xf>
    <xf numFmtId="0" fontId="5" fillId="2" borderId="33" xfId="0" applyFont="1" applyFill="1" applyBorder="1" applyAlignment="1">
      <alignment horizontal="left" wrapText="1"/>
    </xf>
    <xf numFmtId="165" fontId="6" fillId="2" borderId="18" xfId="0" applyNumberFormat="1" applyFont="1" applyFill="1" applyBorder="1"/>
    <xf numFmtId="166" fontId="6" fillId="2" borderId="23" xfId="0" applyNumberFormat="1" applyFont="1" applyFill="1" applyBorder="1" applyAlignment="1">
      <alignment horizontal="right"/>
    </xf>
    <xf numFmtId="4" fontId="6" fillId="2" borderId="15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2" fontId="6" fillId="2" borderId="34" xfId="0" applyNumberFormat="1" applyFont="1" applyFill="1" applyBorder="1" applyAlignment="1">
      <alignment horizontal="right"/>
    </xf>
    <xf numFmtId="2" fontId="6" fillId="2" borderId="29" xfId="0" applyNumberFormat="1" applyFont="1" applyFill="1" applyBorder="1" applyAlignment="1">
      <alignment horizontal="right"/>
    </xf>
    <xf numFmtId="165" fontId="6" fillId="8" borderId="21" xfId="0" applyNumberFormat="1" applyFont="1" applyFill="1" applyBorder="1" applyAlignment="1">
      <alignment horizontal="right" vertical="center"/>
    </xf>
    <xf numFmtId="165" fontId="6" fillId="8" borderId="17" xfId="0" applyNumberFormat="1" applyFont="1" applyFill="1" applyBorder="1" applyAlignment="1">
      <alignment horizontal="right" vertical="center"/>
    </xf>
    <xf numFmtId="165" fontId="6" fillId="8" borderId="5" xfId="0" applyNumberFormat="1" applyFont="1" applyFill="1" applyBorder="1" applyAlignment="1">
      <alignment horizontal="right" vertical="center"/>
    </xf>
    <xf numFmtId="165" fontId="6" fillId="8" borderId="15" xfId="0" applyNumberFormat="1" applyFont="1" applyFill="1" applyBorder="1" applyAlignment="1">
      <alignment horizontal="right" vertical="center"/>
    </xf>
    <xf numFmtId="165" fontId="6" fillId="8" borderId="25" xfId="0" applyNumberFormat="1" applyFont="1" applyFill="1" applyBorder="1" applyAlignment="1">
      <alignment horizontal="right" vertical="center"/>
    </xf>
    <xf numFmtId="165" fontId="6" fillId="8" borderId="18" xfId="0" applyNumberFormat="1" applyFont="1" applyFill="1" applyBorder="1" applyAlignment="1">
      <alignment horizontal="right" vertical="center"/>
    </xf>
    <xf numFmtId="49" fontId="6" fillId="3" borderId="27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/>
    </xf>
    <xf numFmtId="0" fontId="14" fillId="5" borderId="10" xfId="0" applyNumberFormat="1" applyFont="1" applyFill="1" applyBorder="1" applyAlignment="1">
      <alignment horizontal="center" vertical="center" wrapText="1"/>
    </xf>
    <xf numFmtId="0" fontId="14" fillId="5" borderId="11" xfId="0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/>
    </xf>
    <xf numFmtId="0" fontId="17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2" fontId="10" fillId="5" borderId="7" xfId="0" applyNumberFormat="1" applyFont="1" applyFill="1" applyBorder="1" applyAlignment="1">
      <alignment horizontal="center" vertical="center" wrapText="1"/>
    </xf>
    <xf numFmtId="2" fontId="10" fillId="5" borderId="8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0" fillId="0" borderId="9" xfId="0" applyBorder="1"/>
    <xf numFmtId="1" fontId="18" fillId="5" borderId="7" xfId="0" applyNumberFormat="1" applyFont="1" applyFill="1" applyBorder="1" applyAlignment="1">
      <alignment horizontal="center" vertical="center" wrapText="1"/>
    </xf>
    <xf numFmtId="1" fontId="18" fillId="5" borderId="9" xfId="0" applyNumberFormat="1" applyFont="1" applyFill="1" applyBorder="1" applyAlignment="1">
      <alignment horizontal="center" vertical="center" wrapText="1"/>
    </xf>
    <xf numFmtId="1" fontId="18" fillId="5" borderId="8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5050"/>
      <color rgb="FF9999FF"/>
      <color rgb="FF492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Normal="100" workbookViewId="0">
      <selection activeCell="P7" sqref="P7"/>
    </sheetView>
  </sheetViews>
  <sheetFormatPr defaultRowHeight="15"/>
  <cols>
    <col min="1" max="1" width="9.7109375" customWidth="1"/>
    <col min="2" max="2" width="47.140625" customWidth="1"/>
    <col min="3" max="3" width="11.140625" customWidth="1"/>
    <col min="4" max="4" width="11.5703125" customWidth="1"/>
    <col min="5" max="5" width="10.5703125" customWidth="1"/>
    <col min="6" max="6" width="11" customWidth="1"/>
    <col min="7" max="7" width="10.140625" customWidth="1"/>
    <col min="8" max="8" width="11.5703125" customWidth="1"/>
    <col min="9" max="9" width="10.28515625" customWidth="1"/>
    <col min="10" max="10" width="12.28515625" customWidth="1"/>
    <col min="11" max="11" width="10" customWidth="1"/>
    <col min="12" max="12" width="10.28515625" customWidth="1"/>
    <col min="13" max="13" width="10.42578125" customWidth="1"/>
    <col min="14" max="14" width="11.28515625" customWidth="1"/>
    <col min="15" max="15" width="13.140625" customWidth="1"/>
    <col min="16" max="16" width="11.5703125" customWidth="1"/>
    <col min="17" max="17" width="7.7109375" customWidth="1"/>
    <col min="18" max="18" width="16.28515625" customWidth="1"/>
  </cols>
  <sheetData>
    <row r="1" spans="1:18" ht="25.5" customHeight="1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8" ht="23.25" customHeight="1">
      <c r="A2" s="113" t="s">
        <v>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8" ht="18.75" customHeight="1">
      <c r="A3" s="113" t="s">
        <v>77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8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8" ht="24" customHeight="1">
      <c r="A5" s="118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8" ht="18" customHeight="1"/>
    <row r="7" spans="1:18" ht="192.75" customHeight="1">
      <c r="A7" s="123" t="s">
        <v>0</v>
      </c>
      <c r="B7" s="124" t="s">
        <v>1</v>
      </c>
      <c r="C7" s="114" t="s">
        <v>7</v>
      </c>
      <c r="D7" s="115"/>
      <c r="E7" s="114" t="s">
        <v>8</v>
      </c>
      <c r="F7" s="115"/>
      <c r="G7" s="114" t="s">
        <v>9</v>
      </c>
      <c r="H7" s="115"/>
      <c r="I7" s="121" t="s">
        <v>10</v>
      </c>
      <c r="J7" s="122"/>
      <c r="K7" s="114" t="s">
        <v>42</v>
      </c>
      <c r="L7" s="115"/>
      <c r="M7" s="119" t="s">
        <v>32</v>
      </c>
      <c r="N7" s="120"/>
      <c r="O7" s="116" t="s">
        <v>21</v>
      </c>
    </row>
    <row r="8" spans="1:18" ht="53.25" customHeight="1">
      <c r="A8" s="123"/>
      <c r="B8" s="124"/>
      <c r="C8" s="24" t="s">
        <v>20</v>
      </c>
      <c r="D8" s="25" t="s">
        <v>19</v>
      </c>
      <c r="E8" s="24" t="s">
        <v>20</v>
      </c>
      <c r="F8" s="25" t="s">
        <v>19</v>
      </c>
      <c r="G8" s="24" t="s">
        <v>20</v>
      </c>
      <c r="H8" s="25" t="s">
        <v>19</v>
      </c>
      <c r="I8" s="24" t="s">
        <v>20</v>
      </c>
      <c r="J8" s="25" t="s">
        <v>19</v>
      </c>
      <c r="K8" s="24" t="s">
        <v>20</v>
      </c>
      <c r="L8" s="25" t="s">
        <v>19</v>
      </c>
      <c r="M8" s="24" t="s">
        <v>20</v>
      </c>
      <c r="N8" s="25" t="s">
        <v>19</v>
      </c>
      <c r="O8" s="117"/>
    </row>
    <row r="9" spans="1:18" s="14" customFormat="1" ht="30.75" customHeight="1">
      <c r="A9" s="22" t="s">
        <v>6</v>
      </c>
      <c r="B9" s="23" t="s">
        <v>11</v>
      </c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Q9"/>
    </row>
    <row r="10" spans="1:18" ht="34.5" customHeight="1">
      <c r="A10" s="63">
        <v>914</v>
      </c>
      <c r="B10" s="28" t="s">
        <v>13</v>
      </c>
      <c r="C10" s="16">
        <v>0.9</v>
      </c>
      <c r="D10" s="3">
        <f>C10*25</f>
        <v>22.5</v>
      </c>
      <c r="E10" s="3">
        <v>1</v>
      </c>
      <c r="F10" s="3">
        <f>E10*20</f>
        <v>20</v>
      </c>
      <c r="G10" s="16">
        <v>0.67</v>
      </c>
      <c r="H10" s="3">
        <f>G10*20</f>
        <v>13.4</v>
      </c>
      <c r="I10" s="16">
        <v>1</v>
      </c>
      <c r="J10" s="3">
        <f>I10*15</f>
        <v>15</v>
      </c>
      <c r="K10" s="16">
        <v>1</v>
      </c>
      <c r="L10" s="3">
        <f>K10*10</f>
        <v>10</v>
      </c>
      <c r="M10" s="3">
        <v>0.5</v>
      </c>
      <c r="N10" s="3">
        <f>M10*10</f>
        <v>5</v>
      </c>
      <c r="O10" s="85">
        <f>(D10+F10+H10+J10+L10++N10)*0.2</f>
        <v>17.180000000000003</v>
      </c>
      <c r="P10" s="12"/>
      <c r="Q10" s="12"/>
      <c r="R10" s="12"/>
    </row>
    <row r="11" spans="1:18" ht="34.5" customHeight="1">
      <c r="A11" s="64">
        <v>918</v>
      </c>
      <c r="B11" s="28" t="s">
        <v>15</v>
      </c>
      <c r="C11" s="17">
        <v>0.95</v>
      </c>
      <c r="D11" s="4">
        <f>C11*25</f>
        <v>23.75</v>
      </c>
      <c r="E11" s="4">
        <v>1</v>
      </c>
      <c r="F11" s="3">
        <f t="shared" ref="F11:F12" si="0">E11*20</f>
        <v>20</v>
      </c>
      <c r="G11" s="17">
        <v>1</v>
      </c>
      <c r="H11" s="4">
        <f>G11*20</f>
        <v>20</v>
      </c>
      <c r="I11" s="17">
        <v>1</v>
      </c>
      <c r="J11" s="3">
        <f t="shared" ref="J11:J12" si="1">I11*15</f>
        <v>15</v>
      </c>
      <c r="K11" s="17">
        <v>1</v>
      </c>
      <c r="L11" s="3">
        <f t="shared" ref="L11:L12" si="2">K11*10</f>
        <v>10</v>
      </c>
      <c r="M11" s="3">
        <v>1</v>
      </c>
      <c r="N11" s="3">
        <f t="shared" ref="N11:N12" si="3">M11*10</f>
        <v>10</v>
      </c>
      <c r="O11" s="85">
        <f>(D11+F11+H11+J11+L11++N11)*0.2</f>
        <v>19.75</v>
      </c>
      <c r="P11" s="12"/>
      <c r="Q11" s="12"/>
      <c r="R11" s="12"/>
    </row>
    <row r="12" spans="1:18" ht="34.5" customHeight="1">
      <c r="A12" s="64">
        <v>919</v>
      </c>
      <c r="B12" s="28" t="s">
        <v>16</v>
      </c>
      <c r="C12" s="17">
        <v>1</v>
      </c>
      <c r="D12" s="4">
        <f>C12*25</f>
        <v>25</v>
      </c>
      <c r="E12" s="4">
        <v>1</v>
      </c>
      <c r="F12" s="3">
        <f t="shared" si="0"/>
        <v>20</v>
      </c>
      <c r="G12" s="17">
        <v>1</v>
      </c>
      <c r="H12" s="4">
        <f>G12*20</f>
        <v>20</v>
      </c>
      <c r="I12" s="17">
        <v>1</v>
      </c>
      <c r="J12" s="3">
        <f t="shared" si="1"/>
        <v>15</v>
      </c>
      <c r="K12" s="17">
        <v>1</v>
      </c>
      <c r="L12" s="3">
        <f t="shared" si="2"/>
        <v>10</v>
      </c>
      <c r="M12" s="3">
        <v>1</v>
      </c>
      <c r="N12" s="3">
        <f t="shared" si="3"/>
        <v>10</v>
      </c>
      <c r="O12" s="85">
        <f>(D12+F12+H12+J12+L12++N12)*0.2</f>
        <v>20</v>
      </c>
      <c r="P12" s="12"/>
      <c r="Q12" s="12"/>
      <c r="R12" s="12"/>
    </row>
    <row r="13" spans="1:18" s="14" customFormat="1" ht="30.75" customHeight="1">
      <c r="A13" s="22" t="s">
        <v>6</v>
      </c>
      <c r="B13" s="23" t="s">
        <v>12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86"/>
      <c r="Q13"/>
    </row>
    <row r="14" spans="1:18" ht="30" customHeight="1">
      <c r="A14" s="64">
        <v>913</v>
      </c>
      <c r="B14" s="28" t="s">
        <v>17</v>
      </c>
      <c r="C14" s="17">
        <v>0.97</v>
      </c>
      <c r="D14" s="4">
        <f>C14*(25+(25/80*20))</f>
        <v>30.3125</v>
      </c>
      <c r="E14" s="4">
        <v>1</v>
      </c>
      <c r="F14" s="3">
        <f>E14*(20+(20/80*20))</f>
        <v>25</v>
      </c>
      <c r="G14" s="17">
        <v>1</v>
      </c>
      <c r="H14" s="3">
        <f>G14*(20+(20/80*20))</f>
        <v>25</v>
      </c>
      <c r="I14" s="17">
        <v>1</v>
      </c>
      <c r="J14" s="3">
        <f>I14*(15+(15/80*20))</f>
        <v>18.75</v>
      </c>
      <c r="K14" s="18" t="s">
        <v>2</v>
      </c>
      <c r="L14" s="18" t="s">
        <v>2</v>
      </c>
      <c r="M14" s="18" t="s">
        <v>2</v>
      </c>
      <c r="N14" s="18" t="s">
        <v>2</v>
      </c>
      <c r="O14" s="85">
        <f>(D14+F14+H14+J14)*0.2564</f>
        <v>25.399625</v>
      </c>
      <c r="P14" s="12"/>
      <c r="Q14" s="12"/>
      <c r="R14" s="12"/>
    </row>
    <row r="15" spans="1:18" ht="34.5" customHeight="1">
      <c r="A15" s="64">
        <v>916</v>
      </c>
      <c r="B15" s="28" t="s">
        <v>14</v>
      </c>
      <c r="C15" s="17">
        <v>1</v>
      </c>
      <c r="D15" s="4">
        <f t="shared" ref="D15:D16" si="4">C15*(25+(25/80*20))</f>
        <v>31.25</v>
      </c>
      <c r="E15" s="4">
        <v>1</v>
      </c>
      <c r="F15" s="3">
        <f t="shared" ref="F15:F16" si="5">E15*(20+(20/80*20))</f>
        <v>25</v>
      </c>
      <c r="G15" s="17">
        <v>1</v>
      </c>
      <c r="H15" s="3">
        <f t="shared" ref="H15:H16" si="6">G15*(20+(20/80*20))</f>
        <v>25</v>
      </c>
      <c r="I15" s="17">
        <v>1</v>
      </c>
      <c r="J15" s="3">
        <f t="shared" ref="J15:J16" si="7">I15*(15+(15/80*20))</f>
        <v>18.75</v>
      </c>
      <c r="K15" s="18" t="s">
        <v>2</v>
      </c>
      <c r="L15" s="18" t="s">
        <v>2</v>
      </c>
      <c r="M15" s="18" t="s">
        <v>2</v>
      </c>
      <c r="N15" s="18" t="s">
        <v>2</v>
      </c>
      <c r="O15" s="85">
        <f>(D15+F15+H15+J15)*0.241</f>
        <v>24.099999999999998</v>
      </c>
      <c r="P15" s="12"/>
      <c r="Q15" s="12"/>
      <c r="R15" s="12"/>
    </row>
    <row r="16" spans="1:18" ht="31.5" customHeight="1">
      <c r="A16" s="65">
        <v>924</v>
      </c>
      <c r="B16" s="66" t="s">
        <v>18</v>
      </c>
      <c r="C16" s="87">
        <v>1</v>
      </c>
      <c r="D16" s="72">
        <f t="shared" si="4"/>
        <v>31.25</v>
      </c>
      <c r="E16" s="72">
        <v>1</v>
      </c>
      <c r="F16" s="71">
        <f t="shared" si="5"/>
        <v>25</v>
      </c>
      <c r="G16" s="87">
        <v>1</v>
      </c>
      <c r="H16" s="71">
        <f t="shared" si="6"/>
        <v>25</v>
      </c>
      <c r="I16" s="87">
        <v>1</v>
      </c>
      <c r="J16" s="71">
        <f t="shared" si="7"/>
        <v>18.75</v>
      </c>
      <c r="K16" s="88" t="s">
        <v>2</v>
      </c>
      <c r="L16" s="88" t="s">
        <v>2</v>
      </c>
      <c r="M16" s="88" t="s">
        <v>2</v>
      </c>
      <c r="N16" s="88" t="s">
        <v>2</v>
      </c>
      <c r="O16" s="89">
        <f t="shared" ref="O16" si="8">(D16+F16+H16+J16)*0.2564</f>
        <v>25.64</v>
      </c>
      <c r="P16" s="12"/>
      <c r="Q16" s="12"/>
      <c r="R16" s="12"/>
    </row>
    <row r="17" spans="15:18">
      <c r="O17" s="12"/>
      <c r="P17" s="12"/>
      <c r="R17" s="12"/>
    </row>
    <row r="18" spans="15:18">
      <c r="O18" s="21"/>
    </row>
    <row r="19" spans="15:18">
      <c r="O19" s="21"/>
    </row>
  </sheetData>
  <mergeCells count="14">
    <mergeCell ref="C9:O9"/>
    <mergeCell ref="A1:O1"/>
    <mergeCell ref="A2:O2"/>
    <mergeCell ref="E7:F7"/>
    <mergeCell ref="A3:O3"/>
    <mergeCell ref="O7:O8"/>
    <mergeCell ref="K7:L7"/>
    <mergeCell ref="M7:N7"/>
    <mergeCell ref="C7:D7"/>
    <mergeCell ref="G7:H7"/>
    <mergeCell ref="I7:J7"/>
    <mergeCell ref="A7:A8"/>
    <mergeCell ref="B7:B8"/>
    <mergeCell ref="A5:O5"/>
  </mergeCells>
  <pageMargins left="0.51181102362204722" right="0.15748031496062992" top="0.31496062992125984" bottom="0.23622047244094491" header="0.31496062992125984" footer="0.31496062992125984"/>
  <pageSetup paperSize="9" scale="7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4"/>
  <sheetViews>
    <sheetView workbookViewId="0">
      <selection activeCell="R14" sqref="R14"/>
    </sheetView>
  </sheetViews>
  <sheetFormatPr defaultRowHeight="15"/>
  <cols>
    <col min="1" max="1" width="11.7109375" customWidth="1"/>
    <col min="2" max="2" width="24.140625" customWidth="1"/>
    <col min="3" max="3" width="17.7109375" style="5" customWidth="1"/>
    <col min="4" max="4" width="15.140625" style="6" customWidth="1"/>
    <col min="5" max="6" width="13.5703125" customWidth="1"/>
    <col min="7" max="9" width="13.140625" customWidth="1"/>
    <col min="10" max="11" width="13.7109375" customWidth="1"/>
    <col min="12" max="13" width="13" customWidth="1"/>
    <col min="251" max="251" width="9.7109375" customWidth="1"/>
    <col min="252" max="252" width="41.42578125" customWidth="1"/>
    <col min="253" max="253" width="10.28515625" customWidth="1"/>
    <col min="254" max="254" width="9.140625" customWidth="1"/>
    <col min="255" max="260" width="14" customWidth="1"/>
    <col min="507" max="507" width="9.7109375" customWidth="1"/>
    <col min="508" max="508" width="41.42578125" customWidth="1"/>
    <col min="509" max="509" width="10.28515625" customWidth="1"/>
    <col min="510" max="510" width="9.140625" customWidth="1"/>
    <col min="511" max="516" width="14" customWidth="1"/>
    <col min="763" max="763" width="9.7109375" customWidth="1"/>
    <col min="764" max="764" width="41.42578125" customWidth="1"/>
    <col min="765" max="765" width="10.28515625" customWidth="1"/>
    <col min="766" max="766" width="9.140625" customWidth="1"/>
    <col min="767" max="772" width="14" customWidth="1"/>
    <col min="1019" max="1019" width="9.7109375" customWidth="1"/>
    <col min="1020" max="1020" width="41.42578125" customWidth="1"/>
    <col min="1021" max="1021" width="10.28515625" customWidth="1"/>
    <col min="1022" max="1022" width="9.140625" customWidth="1"/>
    <col min="1023" max="1028" width="14" customWidth="1"/>
    <col min="1275" max="1275" width="9.7109375" customWidth="1"/>
    <col min="1276" max="1276" width="41.42578125" customWidth="1"/>
    <col min="1277" max="1277" width="10.28515625" customWidth="1"/>
    <col min="1278" max="1278" width="9.140625" customWidth="1"/>
    <col min="1279" max="1284" width="14" customWidth="1"/>
    <col min="1531" max="1531" width="9.7109375" customWidth="1"/>
    <col min="1532" max="1532" width="41.42578125" customWidth="1"/>
    <col min="1533" max="1533" width="10.28515625" customWidth="1"/>
    <col min="1534" max="1534" width="9.140625" customWidth="1"/>
    <col min="1535" max="1540" width="14" customWidth="1"/>
    <col min="1787" max="1787" width="9.7109375" customWidth="1"/>
    <col min="1788" max="1788" width="41.42578125" customWidth="1"/>
    <col min="1789" max="1789" width="10.28515625" customWidth="1"/>
    <col min="1790" max="1790" width="9.140625" customWidth="1"/>
    <col min="1791" max="1796" width="14" customWidth="1"/>
    <col min="2043" max="2043" width="9.7109375" customWidth="1"/>
    <col min="2044" max="2044" width="41.42578125" customWidth="1"/>
    <col min="2045" max="2045" width="10.28515625" customWidth="1"/>
    <col min="2046" max="2046" width="9.140625" customWidth="1"/>
    <col min="2047" max="2052" width="14" customWidth="1"/>
    <col min="2299" max="2299" width="9.7109375" customWidth="1"/>
    <col min="2300" max="2300" width="41.42578125" customWidth="1"/>
    <col min="2301" max="2301" width="10.28515625" customWidth="1"/>
    <col min="2302" max="2302" width="9.140625" customWidth="1"/>
    <col min="2303" max="2308" width="14" customWidth="1"/>
    <col min="2555" max="2555" width="9.7109375" customWidth="1"/>
    <col min="2556" max="2556" width="41.42578125" customWidth="1"/>
    <col min="2557" max="2557" width="10.28515625" customWidth="1"/>
    <col min="2558" max="2558" width="9.140625" customWidth="1"/>
    <col min="2559" max="2564" width="14" customWidth="1"/>
    <col min="2811" max="2811" width="9.7109375" customWidth="1"/>
    <col min="2812" max="2812" width="41.42578125" customWidth="1"/>
    <col min="2813" max="2813" width="10.28515625" customWidth="1"/>
    <col min="2814" max="2814" width="9.140625" customWidth="1"/>
    <col min="2815" max="2820" width="14" customWidth="1"/>
    <col min="3067" max="3067" width="9.7109375" customWidth="1"/>
    <col min="3068" max="3068" width="41.42578125" customWidth="1"/>
    <col min="3069" max="3069" width="10.28515625" customWidth="1"/>
    <col min="3070" max="3070" width="9.140625" customWidth="1"/>
    <col min="3071" max="3076" width="14" customWidth="1"/>
    <col min="3323" max="3323" width="9.7109375" customWidth="1"/>
    <col min="3324" max="3324" width="41.42578125" customWidth="1"/>
    <col min="3325" max="3325" width="10.28515625" customWidth="1"/>
    <col min="3326" max="3326" width="9.140625" customWidth="1"/>
    <col min="3327" max="3332" width="14" customWidth="1"/>
    <col min="3579" max="3579" width="9.7109375" customWidth="1"/>
    <col min="3580" max="3580" width="41.42578125" customWidth="1"/>
    <col min="3581" max="3581" width="10.28515625" customWidth="1"/>
    <col min="3582" max="3582" width="9.140625" customWidth="1"/>
    <col min="3583" max="3588" width="14" customWidth="1"/>
    <col min="3835" max="3835" width="9.7109375" customWidth="1"/>
    <col min="3836" max="3836" width="41.42578125" customWidth="1"/>
    <col min="3837" max="3837" width="10.28515625" customWidth="1"/>
    <col min="3838" max="3838" width="9.140625" customWidth="1"/>
    <col min="3839" max="3844" width="14" customWidth="1"/>
    <col min="4091" max="4091" width="9.7109375" customWidth="1"/>
    <col min="4092" max="4092" width="41.42578125" customWidth="1"/>
    <col min="4093" max="4093" width="10.28515625" customWidth="1"/>
    <col min="4094" max="4094" width="9.140625" customWidth="1"/>
    <col min="4095" max="4100" width="14" customWidth="1"/>
    <col min="4347" max="4347" width="9.7109375" customWidth="1"/>
    <col min="4348" max="4348" width="41.42578125" customWidth="1"/>
    <col min="4349" max="4349" width="10.28515625" customWidth="1"/>
    <col min="4350" max="4350" width="9.140625" customWidth="1"/>
    <col min="4351" max="4356" width="14" customWidth="1"/>
    <col min="4603" max="4603" width="9.7109375" customWidth="1"/>
    <col min="4604" max="4604" width="41.42578125" customWidth="1"/>
    <col min="4605" max="4605" width="10.28515625" customWidth="1"/>
    <col min="4606" max="4606" width="9.140625" customWidth="1"/>
    <col min="4607" max="4612" width="14" customWidth="1"/>
    <col min="4859" max="4859" width="9.7109375" customWidth="1"/>
    <col min="4860" max="4860" width="41.42578125" customWidth="1"/>
    <col min="4861" max="4861" width="10.28515625" customWidth="1"/>
    <col min="4862" max="4862" width="9.140625" customWidth="1"/>
    <col min="4863" max="4868" width="14" customWidth="1"/>
    <col min="5115" max="5115" width="9.7109375" customWidth="1"/>
    <col min="5116" max="5116" width="41.42578125" customWidth="1"/>
    <col min="5117" max="5117" width="10.28515625" customWidth="1"/>
    <col min="5118" max="5118" width="9.140625" customWidth="1"/>
    <col min="5119" max="5124" width="14" customWidth="1"/>
    <col min="5371" max="5371" width="9.7109375" customWidth="1"/>
    <col min="5372" max="5372" width="41.42578125" customWidth="1"/>
    <col min="5373" max="5373" width="10.28515625" customWidth="1"/>
    <col min="5374" max="5374" width="9.140625" customWidth="1"/>
    <col min="5375" max="5380" width="14" customWidth="1"/>
    <col min="5627" max="5627" width="9.7109375" customWidth="1"/>
    <col min="5628" max="5628" width="41.42578125" customWidth="1"/>
    <col min="5629" max="5629" width="10.28515625" customWidth="1"/>
    <col min="5630" max="5630" width="9.140625" customWidth="1"/>
    <col min="5631" max="5636" width="14" customWidth="1"/>
    <col min="5883" max="5883" width="9.7109375" customWidth="1"/>
    <col min="5884" max="5884" width="41.42578125" customWidth="1"/>
    <col min="5885" max="5885" width="10.28515625" customWidth="1"/>
    <col min="5886" max="5886" width="9.140625" customWidth="1"/>
    <col min="5887" max="5892" width="14" customWidth="1"/>
    <col min="6139" max="6139" width="9.7109375" customWidth="1"/>
    <col min="6140" max="6140" width="41.42578125" customWidth="1"/>
    <col min="6141" max="6141" width="10.28515625" customWidth="1"/>
    <col min="6142" max="6142" width="9.140625" customWidth="1"/>
    <col min="6143" max="6148" width="14" customWidth="1"/>
    <col min="6395" max="6395" width="9.7109375" customWidth="1"/>
    <col min="6396" max="6396" width="41.42578125" customWidth="1"/>
    <col min="6397" max="6397" width="10.28515625" customWidth="1"/>
    <col min="6398" max="6398" width="9.140625" customWidth="1"/>
    <col min="6399" max="6404" width="14" customWidth="1"/>
    <col min="6651" max="6651" width="9.7109375" customWidth="1"/>
    <col min="6652" max="6652" width="41.42578125" customWidth="1"/>
    <col min="6653" max="6653" width="10.28515625" customWidth="1"/>
    <col min="6654" max="6654" width="9.140625" customWidth="1"/>
    <col min="6655" max="6660" width="14" customWidth="1"/>
    <col min="6907" max="6907" width="9.7109375" customWidth="1"/>
    <col min="6908" max="6908" width="41.42578125" customWidth="1"/>
    <col min="6909" max="6909" width="10.28515625" customWidth="1"/>
    <col min="6910" max="6910" width="9.140625" customWidth="1"/>
    <col min="6911" max="6916" width="14" customWidth="1"/>
    <col min="7163" max="7163" width="9.7109375" customWidth="1"/>
    <col min="7164" max="7164" width="41.42578125" customWidth="1"/>
    <col min="7165" max="7165" width="10.28515625" customWidth="1"/>
    <col min="7166" max="7166" width="9.140625" customWidth="1"/>
    <col min="7167" max="7172" width="14" customWidth="1"/>
    <col min="7419" max="7419" width="9.7109375" customWidth="1"/>
    <col min="7420" max="7420" width="41.42578125" customWidth="1"/>
    <col min="7421" max="7421" width="10.28515625" customWidth="1"/>
    <col min="7422" max="7422" width="9.140625" customWidth="1"/>
    <col min="7423" max="7428" width="14" customWidth="1"/>
    <col min="7675" max="7675" width="9.7109375" customWidth="1"/>
    <col min="7676" max="7676" width="41.42578125" customWidth="1"/>
    <col min="7677" max="7677" width="10.28515625" customWidth="1"/>
    <col min="7678" max="7678" width="9.140625" customWidth="1"/>
    <col min="7679" max="7684" width="14" customWidth="1"/>
    <col min="7931" max="7931" width="9.7109375" customWidth="1"/>
    <col min="7932" max="7932" width="41.42578125" customWidth="1"/>
    <col min="7933" max="7933" width="10.28515625" customWidth="1"/>
    <col min="7934" max="7934" width="9.140625" customWidth="1"/>
    <col min="7935" max="7940" width="14" customWidth="1"/>
    <col min="8187" max="8187" width="9.7109375" customWidth="1"/>
    <col min="8188" max="8188" width="41.42578125" customWidth="1"/>
    <col min="8189" max="8189" width="10.28515625" customWidth="1"/>
    <col min="8190" max="8190" width="9.140625" customWidth="1"/>
    <col min="8191" max="8196" width="14" customWidth="1"/>
    <col min="8443" max="8443" width="9.7109375" customWidth="1"/>
    <col min="8444" max="8444" width="41.42578125" customWidth="1"/>
    <col min="8445" max="8445" width="10.28515625" customWidth="1"/>
    <col min="8446" max="8446" width="9.140625" customWidth="1"/>
    <col min="8447" max="8452" width="14" customWidth="1"/>
    <col min="8699" max="8699" width="9.7109375" customWidth="1"/>
    <col min="8700" max="8700" width="41.42578125" customWidth="1"/>
    <col min="8701" max="8701" width="10.28515625" customWidth="1"/>
    <col min="8702" max="8702" width="9.140625" customWidth="1"/>
    <col min="8703" max="8708" width="14" customWidth="1"/>
    <col min="8955" max="8955" width="9.7109375" customWidth="1"/>
    <col min="8956" max="8956" width="41.42578125" customWidth="1"/>
    <col min="8957" max="8957" width="10.28515625" customWidth="1"/>
    <col min="8958" max="8958" width="9.140625" customWidth="1"/>
    <col min="8959" max="8964" width="14" customWidth="1"/>
    <col min="9211" max="9211" width="9.7109375" customWidth="1"/>
    <col min="9212" max="9212" width="41.42578125" customWidth="1"/>
    <col min="9213" max="9213" width="10.28515625" customWidth="1"/>
    <col min="9214" max="9214" width="9.140625" customWidth="1"/>
    <col min="9215" max="9220" width="14" customWidth="1"/>
    <col min="9467" max="9467" width="9.7109375" customWidth="1"/>
    <col min="9468" max="9468" width="41.42578125" customWidth="1"/>
    <col min="9469" max="9469" width="10.28515625" customWidth="1"/>
    <col min="9470" max="9470" width="9.140625" customWidth="1"/>
    <col min="9471" max="9476" width="14" customWidth="1"/>
    <col min="9723" max="9723" width="9.7109375" customWidth="1"/>
    <col min="9724" max="9724" width="41.42578125" customWidth="1"/>
    <col min="9725" max="9725" width="10.28515625" customWidth="1"/>
    <col min="9726" max="9726" width="9.140625" customWidth="1"/>
    <col min="9727" max="9732" width="14" customWidth="1"/>
    <col min="9979" max="9979" width="9.7109375" customWidth="1"/>
    <col min="9980" max="9980" width="41.42578125" customWidth="1"/>
    <col min="9981" max="9981" width="10.28515625" customWidth="1"/>
    <col min="9982" max="9982" width="9.140625" customWidth="1"/>
    <col min="9983" max="9988" width="14" customWidth="1"/>
    <col min="10235" max="10235" width="9.7109375" customWidth="1"/>
    <col min="10236" max="10236" width="41.42578125" customWidth="1"/>
    <col min="10237" max="10237" width="10.28515625" customWidth="1"/>
    <col min="10238" max="10238" width="9.140625" customWidth="1"/>
    <col min="10239" max="10244" width="14" customWidth="1"/>
    <col min="10491" max="10491" width="9.7109375" customWidth="1"/>
    <col min="10492" max="10492" width="41.42578125" customWidth="1"/>
    <col min="10493" max="10493" width="10.28515625" customWidth="1"/>
    <col min="10494" max="10494" width="9.140625" customWidth="1"/>
    <col min="10495" max="10500" width="14" customWidth="1"/>
    <col min="10747" max="10747" width="9.7109375" customWidth="1"/>
    <col min="10748" max="10748" width="41.42578125" customWidth="1"/>
    <col min="10749" max="10749" width="10.28515625" customWidth="1"/>
    <col min="10750" max="10750" width="9.140625" customWidth="1"/>
    <col min="10751" max="10756" width="14" customWidth="1"/>
    <col min="11003" max="11003" width="9.7109375" customWidth="1"/>
    <col min="11004" max="11004" width="41.42578125" customWidth="1"/>
    <col min="11005" max="11005" width="10.28515625" customWidth="1"/>
    <col min="11006" max="11006" width="9.140625" customWidth="1"/>
    <col min="11007" max="11012" width="14" customWidth="1"/>
    <col min="11259" max="11259" width="9.7109375" customWidth="1"/>
    <col min="11260" max="11260" width="41.42578125" customWidth="1"/>
    <col min="11261" max="11261" width="10.28515625" customWidth="1"/>
    <col min="11262" max="11262" width="9.140625" customWidth="1"/>
    <col min="11263" max="11268" width="14" customWidth="1"/>
    <col min="11515" max="11515" width="9.7109375" customWidth="1"/>
    <col min="11516" max="11516" width="41.42578125" customWidth="1"/>
    <col min="11517" max="11517" width="10.28515625" customWidth="1"/>
    <col min="11518" max="11518" width="9.140625" customWidth="1"/>
    <col min="11519" max="11524" width="14" customWidth="1"/>
    <col min="11771" max="11771" width="9.7109375" customWidth="1"/>
    <col min="11772" max="11772" width="41.42578125" customWidth="1"/>
    <col min="11773" max="11773" width="10.28515625" customWidth="1"/>
    <col min="11774" max="11774" width="9.140625" customWidth="1"/>
    <col min="11775" max="11780" width="14" customWidth="1"/>
    <col min="12027" max="12027" width="9.7109375" customWidth="1"/>
    <col min="12028" max="12028" width="41.42578125" customWidth="1"/>
    <col min="12029" max="12029" width="10.28515625" customWidth="1"/>
    <col min="12030" max="12030" width="9.140625" customWidth="1"/>
    <col min="12031" max="12036" width="14" customWidth="1"/>
    <col min="12283" max="12283" width="9.7109375" customWidth="1"/>
    <col min="12284" max="12284" width="41.42578125" customWidth="1"/>
    <col min="12285" max="12285" width="10.28515625" customWidth="1"/>
    <col min="12286" max="12286" width="9.140625" customWidth="1"/>
    <col min="12287" max="12292" width="14" customWidth="1"/>
    <col min="12539" max="12539" width="9.7109375" customWidth="1"/>
    <col min="12540" max="12540" width="41.42578125" customWidth="1"/>
    <col min="12541" max="12541" width="10.28515625" customWidth="1"/>
    <col min="12542" max="12542" width="9.140625" customWidth="1"/>
    <col min="12543" max="12548" width="14" customWidth="1"/>
    <col min="12795" max="12795" width="9.7109375" customWidth="1"/>
    <col min="12796" max="12796" width="41.42578125" customWidth="1"/>
    <col min="12797" max="12797" width="10.28515625" customWidth="1"/>
    <col min="12798" max="12798" width="9.140625" customWidth="1"/>
    <col min="12799" max="12804" width="14" customWidth="1"/>
    <col min="13051" max="13051" width="9.7109375" customWidth="1"/>
    <col min="13052" max="13052" width="41.42578125" customWidth="1"/>
    <col min="13053" max="13053" width="10.28515625" customWidth="1"/>
    <col min="13054" max="13054" width="9.140625" customWidth="1"/>
    <col min="13055" max="13060" width="14" customWidth="1"/>
    <col min="13307" max="13307" width="9.7109375" customWidth="1"/>
    <col min="13308" max="13308" width="41.42578125" customWidth="1"/>
    <col min="13309" max="13309" width="10.28515625" customWidth="1"/>
    <col min="13310" max="13310" width="9.140625" customWidth="1"/>
    <col min="13311" max="13316" width="14" customWidth="1"/>
    <col min="13563" max="13563" width="9.7109375" customWidth="1"/>
    <col min="13564" max="13564" width="41.42578125" customWidth="1"/>
    <col min="13565" max="13565" width="10.28515625" customWidth="1"/>
    <col min="13566" max="13566" width="9.140625" customWidth="1"/>
    <col min="13567" max="13572" width="14" customWidth="1"/>
    <col min="13819" max="13819" width="9.7109375" customWidth="1"/>
    <col min="13820" max="13820" width="41.42578125" customWidth="1"/>
    <col min="13821" max="13821" width="10.28515625" customWidth="1"/>
    <col min="13822" max="13822" width="9.140625" customWidth="1"/>
    <col min="13823" max="13828" width="14" customWidth="1"/>
    <col min="14075" max="14075" width="9.7109375" customWidth="1"/>
    <col min="14076" max="14076" width="41.42578125" customWidth="1"/>
    <col min="14077" max="14077" width="10.28515625" customWidth="1"/>
    <col min="14078" max="14078" width="9.140625" customWidth="1"/>
    <col min="14079" max="14084" width="14" customWidth="1"/>
    <col min="14331" max="14331" width="9.7109375" customWidth="1"/>
    <col min="14332" max="14332" width="41.42578125" customWidth="1"/>
    <col min="14333" max="14333" width="10.28515625" customWidth="1"/>
    <col min="14334" max="14334" width="9.140625" customWidth="1"/>
    <col min="14335" max="14340" width="14" customWidth="1"/>
    <col min="14587" max="14587" width="9.7109375" customWidth="1"/>
    <col min="14588" max="14588" width="41.42578125" customWidth="1"/>
    <col min="14589" max="14589" width="10.28515625" customWidth="1"/>
    <col min="14590" max="14590" width="9.140625" customWidth="1"/>
    <col min="14591" max="14596" width="14" customWidth="1"/>
    <col min="14843" max="14843" width="9.7109375" customWidth="1"/>
    <col min="14844" max="14844" width="41.42578125" customWidth="1"/>
    <col min="14845" max="14845" width="10.28515625" customWidth="1"/>
    <col min="14846" max="14846" width="9.140625" customWidth="1"/>
    <col min="14847" max="14852" width="14" customWidth="1"/>
    <col min="15099" max="15099" width="9.7109375" customWidth="1"/>
    <col min="15100" max="15100" width="41.42578125" customWidth="1"/>
    <col min="15101" max="15101" width="10.28515625" customWidth="1"/>
    <col min="15102" max="15102" width="9.140625" customWidth="1"/>
    <col min="15103" max="15108" width="14" customWidth="1"/>
    <col min="15355" max="15355" width="9.7109375" customWidth="1"/>
    <col min="15356" max="15356" width="41.42578125" customWidth="1"/>
    <col min="15357" max="15357" width="10.28515625" customWidth="1"/>
    <col min="15358" max="15358" width="9.140625" customWidth="1"/>
    <col min="15359" max="15364" width="14" customWidth="1"/>
    <col min="15611" max="15611" width="9.7109375" customWidth="1"/>
    <col min="15612" max="15612" width="41.42578125" customWidth="1"/>
    <col min="15613" max="15613" width="10.28515625" customWidth="1"/>
    <col min="15614" max="15614" width="9.140625" customWidth="1"/>
    <col min="15615" max="15620" width="14" customWidth="1"/>
    <col min="15867" max="15867" width="9.7109375" customWidth="1"/>
    <col min="15868" max="15868" width="41.42578125" customWidth="1"/>
    <col min="15869" max="15869" width="10.28515625" customWidth="1"/>
    <col min="15870" max="15870" width="9.140625" customWidth="1"/>
    <col min="15871" max="15876" width="14" customWidth="1"/>
    <col min="16123" max="16123" width="9.7109375" customWidth="1"/>
    <col min="16124" max="16124" width="41.42578125" customWidth="1"/>
    <col min="16125" max="16125" width="10.28515625" customWidth="1"/>
    <col min="16126" max="16126" width="9.140625" customWidth="1"/>
    <col min="16127" max="16132" width="14" customWidth="1"/>
  </cols>
  <sheetData>
    <row r="2" spans="1:29" s="1" customFormat="1" ht="54" customHeight="1">
      <c r="A2" s="151" t="s">
        <v>78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/>
    </row>
    <row r="3" spans="1:29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9" ht="51" customHeight="1">
      <c r="A4" s="152" t="s">
        <v>0</v>
      </c>
      <c r="B4" s="153" t="s">
        <v>1</v>
      </c>
      <c r="C4" s="154" t="s">
        <v>39</v>
      </c>
      <c r="D4" s="153" t="s">
        <v>40</v>
      </c>
      <c r="E4" s="152" t="s">
        <v>41</v>
      </c>
      <c r="F4" s="152"/>
      <c r="G4" s="152"/>
      <c r="H4" s="152"/>
      <c r="I4" s="152"/>
      <c r="J4" s="152"/>
      <c r="K4" s="152"/>
      <c r="L4" s="152"/>
      <c r="M4" s="152"/>
    </row>
    <row r="5" spans="1:29" ht="66.75" customHeight="1">
      <c r="A5" s="152"/>
      <c r="B5" s="153"/>
      <c r="C5" s="155"/>
      <c r="D5" s="153"/>
      <c r="E5" s="39" t="s">
        <v>35</v>
      </c>
      <c r="F5" s="39" t="s">
        <v>38</v>
      </c>
      <c r="G5" s="39" t="s">
        <v>36</v>
      </c>
      <c r="H5" s="39" t="s">
        <v>72</v>
      </c>
      <c r="I5" s="39" t="s">
        <v>73</v>
      </c>
      <c r="J5" s="39" t="s">
        <v>74</v>
      </c>
      <c r="K5" s="39" t="s">
        <v>75</v>
      </c>
      <c r="L5" s="39" t="s">
        <v>37</v>
      </c>
      <c r="M5" s="39" t="s">
        <v>76</v>
      </c>
    </row>
    <row r="6" spans="1:29" ht="39.75" customHeight="1">
      <c r="A6" s="148" t="s">
        <v>28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29" ht="64.5" customHeight="1">
      <c r="A7" s="47">
        <v>914</v>
      </c>
      <c r="B7" s="48" t="s">
        <v>13</v>
      </c>
      <c r="C7" s="37">
        <f>E7+F7+G7+H7+J7+K7+L7+M7+I7</f>
        <v>55.119900000000001</v>
      </c>
      <c r="D7" s="50">
        <v>3</v>
      </c>
      <c r="E7" s="51">
        <f>'Показатель 1'!O10</f>
        <v>17.180000000000003</v>
      </c>
      <c r="F7" s="51">
        <f>'Показатель 2'!M6</f>
        <v>9.4349999999999987</v>
      </c>
      <c r="G7" s="51">
        <f>'Показатель 3'!O6</f>
        <v>4.8374999999999995</v>
      </c>
      <c r="H7" s="52">
        <f>'Показатель 4'!K6</f>
        <v>9</v>
      </c>
      <c r="I7" s="52">
        <f>'Показатель 5'!E6</f>
        <v>5</v>
      </c>
      <c r="J7" s="52">
        <f>'Показатель 6'!G6</f>
        <v>3.125</v>
      </c>
      <c r="K7" s="52">
        <f>'Показатель 7'!M6</f>
        <v>1.7999999999999998</v>
      </c>
      <c r="L7" s="52">
        <f>'Показатель 8'!K6</f>
        <v>1.7423999999999999</v>
      </c>
      <c r="M7" s="45">
        <f>'Показатель 9'!K6</f>
        <v>3</v>
      </c>
      <c r="N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64.5" customHeight="1">
      <c r="A8" s="42">
        <v>918</v>
      </c>
      <c r="B8" s="41" t="s">
        <v>15</v>
      </c>
      <c r="C8" s="37">
        <f>E8+F8+G8+M8+I8+H8+J8+K8+L8</f>
        <v>82.172500000000014</v>
      </c>
      <c r="D8" s="74">
        <v>1</v>
      </c>
      <c r="E8" s="40">
        <f>'Показатель 1'!O11</f>
        <v>19.75</v>
      </c>
      <c r="F8" s="40">
        <f>'Показатель 2'!M7</f>
        <v>12.9975</v>
      </c>
      <c r="G8" s="40">
        <f>'Показатель 3'!O7</f>
        <v>15</v>
      </c>
      <c r="H8" s="44">
        <f>'Показатель 4'!K7</f>
        <v>9</v>
      </c>
      <c r="I8" s="44">
        <f>'Показатель 5'!E7</f>
        <v>2.5</v>
      </c>
      <c r="J8" s="44">
        <f>'Показатель 6'!G7</f>
        <v>3.125</v>
      </c>
      <c r="K8" s="44">
        <f>'Показатель 7'!M7</f>
        <v>5.3999999999999995</v>
      </c>
      <c r="L8" s="44">
        <f>'Показатель 8'!K7</f>
        <v>8</v>
      </c>
      <c r="M8" s="43">
        <f>'Показатель 9'!K7</f>
        <v>6.4</v>
      </c>
      <c r="N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64.5" customHeight="1">
      <c r="A9" s="59">
        <v>919</v>
      </c>
      <c r="B9" s="41" t="s">
        <v>16</v>
      </c>
      <c r="C9" s="55">
        <f>E9+F9+G9+H9+J9+K9+L9+M9+I9</f>
        <v>78.24114999999999</v>
      </c>
      <c r="D9" s="73">
        <v>2</v>
      </c>
      <c r="E9" s="57">
        <f>'Показатель 1'!O12</f>
        <v>20</v>
      </c>
      <c r="F9" s="57">
        <f>'Показатель 2'!M8</f>
        <v>14.14115</v>
      </c>
      <c r="G9" s="57">
        <f>'Показатель 3'!O8</f>
        <v>15</v>
      </c>
      <c r="H9" s="58">
        <f>'Показатель 4'!K8</f>
        <v>9</v>
      </c>
      <c r="I9" s="58">
        <f>'Показатель 5'!E8</f>
        <v>5</v>
      </c>
      <c r="J9" s="58">
        <f>'Показатель 6'!G8</f>
        <v>2.5</v>
      </c>
      <c r="K9" s="58">
        <f>'Показатель 7'!M8</f>
        <v>1.7999999999999998</v>
      </c>
      <c r="L9" s="58">
        <f>'Показатель 8'!K8</f>
        <v>4.8</v>
      </c>
      <c r="M9" s="46">
        <f>'Показатель 9'!K8</f>
        <v>6</v>
      </c>
      <c r="N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40.5" customHeight="1">
      <c r="A10" s="148" t="s">
        <v>29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57" customHeight="1">
      <c r="A11" s="47">
        <v>913</v>
      </c>
      <c r="B11" s="48" t="s">
        <v>17</v>
      </c>
      <c r="C11" s="49">
        <f>E11+F11+G11+H11+I11+L11</f>
        <v>86.385159999999999</v>
      </c>
      <c r="D11" s="50">
        <v>3</v>
      </c>
      <c r="E11" s="51">
        <f>99.1*(0.2+0.0564)</f>
        <v>25.40924</v>
      </c>
      <c r="F11" s="51">
        <f>70.4*(0.15+0.0423)</f>
        <v>13.537920000000002</v>
      </c>
      <c r="G11" s="51">
        <f>100*(0.15+0.0423)</f>
        <v>19.23</v>
      </c>
      <c r="H11" s="52">
        <f>60*(0.15+0.0423)</f>
        <v>11.538</v>
      </c>
      <c r="I11" s="52">
        <f>100*(0.05+0.0141)</f>
        <v>6.41</v>
      </c>
      <c r="J11" s="104" t="s">
        <v>2</v>
      </c>
      <c r="K11" s="104" t="s">
        <v>2</v>
      </c>
      <c r="L11" s="104">
        <f>100*(0.08+0.0226)</f>
        <v>10.26</v>
      </c>
      <c r="M11" s="105" t="s">
        <v>2</v>
      </c>
      <c r="N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57" customHeight="1">
      <c r="A12" s="42">
        <v>916</v>
      </c>
      <c r="B12" s="41" t="s">
        <v>14</v>
      </c>
      <c r="C12" s="37">
        <f>E12+F12+G12+H12+I12+J12+L12</f>
        <v>96.292090000000002</v>
      </c>
      <c r="D12" s="38">
        <v>2</v>
      </c>
      <c r="E12" s="40">
        <f>100*(0.2+0.041)</f>
        <v>24.1</v>
      </c>
      <c r="F12" s="40">
        <f>83.7*(0.15+0.0307)</f>
        <v>15.124590000000001</v>
      </c>
      <c r="G12" s="40">
        <f>100*(0.15+0.0307)</f>
        <v>18.07</v>
      </c>
      <c r="H12" s="44">
        <f>100*(0.15+0.0307)</f>
        <v>18.07</v>
      </c>
      <c r="I12" s="44">
        <f>100*(0.05+0.0102)</f>
        <v>6.0200000000000005</v>
      </c>
      <c r="J12" s="106">
        <f>87.5*(0.05+0.0102)</f>
        <v>5.2675000000000001</v>
      </c>
      <c r="K12" s="106" t="s">
        <v>2</v>
      </c>
      <c r="L12" s="106">
        <f>100*(0.08+0.0164)</f>
        <v>9.64</v>
      </c>
      <c r="M12" s="107" t="s">
        <v>2</v>
      </c>
      <c r="N12" s="12"/>
      <c r="O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57" customHeight="1">
      <c r="A13" s="53">
        <v>924</v>
      </c>
      <c r="B13" s="54" t="s">
        <v>18</v>
      </c>
      <c r="C13" s="55">
        <f>E13+F13+G13+H13+I13+L13</f>
        <v>97.250110000000006</v>
      </c>
      <c r="D13" s="56">
        <v>1</v>
      </c>
      <c r="E13" s="57">
        <f>100*(0.2+0.0564)</f>
        <v>25.64</v>
      </c>
      <c r="F13" s="57">
        <f>85.7*(0.15+0.0423)</f>
        <v>16.48011</v>
      </c>
      <c r="G13" s="57">
        <f>100*(0.15+0.0423)</f>
        <v>19.23</v>
      </c>
      <c r="H13" s="58">
        <f>100*(0.15+0.0423)</f>
        <v>19.23</v>
      </c>
      <c r="I13" s="58">
        <f>100*(0.05+0.0141)</f>
        <v>6.41</v>
      </c>
      <c r="J13" s="108" t="s">
        <v>2</v>
      </c>
      <c r="K13" s="108" t="s">
        <v>2</v>
      </c>
      <c r="L13" s="108">
        <f>100*(0.08+0.0226)</f>
        <v>10.26</v>
      </c>
      <c r="M13" s="109" t="s">
        <v>2</v>
      </c>
      <c r="N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58.5" customHeight="1">
      <c r="A14" s="146" t="s">
        <v>31</v>
      </c>
      <c r="B14" s="147"/>
      <c r="C14" s="60">
        <f>(C7+C8+C9+C11+C12+C13)/6</f>
        <v>82.576818333333321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</row>
  </sheetData>
  <mergeCells count="9">
    <mergeCell ref="A14:B14"/>
    <mergeCell ref="A6:M6"/>
    <mergeCell ref="A10:M10"/>
    <mergeCell ref="A2:M2"/>
    <mergeCell ref="A4:A5"/>
    <mergeCell ref="B4:B5"/>
    <mergeCell ref="D4:D5"/>
    <mergeCell ref="E4:M4"/>
    <mergeCell ref="C4:C5"/>
  </mergeCells>
  <pageMargins left="0.59055118110236227" right="0.43307086614173229" top="0.47244094488188981" bottom="0.59055118110236227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opLeftCell="B1" zoomScaleNormal="100" workbookViewId="0">
      <selection activeCell="B18" sqref="B18"/>
    </sheetView>
  </sheetViews>
  <sheetFormatPr defaultColWidth="8.85546875" defaultRowHeight="15"/>
  <cols>
    <col min="1" max="1" width="8.140625" style="7" customWidth="1"/>
    <col min="2" max="2" width="45" style="7" customWidth="1"/>
    <col min="3" max="3" width="10.85546875" style="7" customWidth="1"/>
    <col min="4" max="4" width="9.7109375" style="7" customWidth="1"/>
    <col min="5" max="5" width="10.5703125" style="7" customWidth="1"/>
    <col min="6" max="6" width="9.7109375" style="7" customWidth="1"/>
    <col min="7" max="7" width="10.5703125" style="7" customWidth="1"/>
    <col min="8" max="8" width="9.7109375" style="7" customWidth="1"/>
    <col min="9" max="9" width="10.5703125" style="7" customWidth="1"/>
    <col min="10" max="10" width="9.7109375" style="7" customWidth="1"/>
    <col min="11" max="11" width="10.5703125" style="7" customWidth="1"/>
    <col min="12" max="12" width="9.7109375" style="7" customWidth="1"/>
    <col min="13" max="13" width="10.85546875" style="7" customWidth="1"/>
    <col min="14" max="16384" width="8.85546875" style="7"/>
  </cols>
  <sheetData>
    <row r="1" spans="1:15" ht="27.75" customHeight="1">
      <c r="A1" s="125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3" spans="1:15" ht="114.75" customHeight="1">
      <c r="A3" s="123" t="s">
        <v>0</v>
      </c>
      <c r="B3" s="124" t="s">
        <v>1</v>
      </c>
      <c r="C3" s="114" t="s">
        <v>33</v>
      </c>
      <c r="D3" s="131"/>
      <c r="E3" s="114" t="s">
        <v>46</v>
      </c>
      <c r="F3" s="131"/>
      <c r="G3" s="114" t="s">
        <v>43</v>
      </c>
      <c r="H3" s="131"/>
      <c r="I3" s="114" t="s">
        <v>44</v>
      </c>
      <c r="J3" s="131"/>
      <c r="K3" s="114" t="s">
        <v>45</v>
      </c>
      <c r="L3" s="131"/>
      <c r="M3" s="130" t="s">
        <v>21</v>
      </c>
    </row>
    <row r="4" spans="1:15" ht="39.75" customHeight="1">
      <c r="A4" s="123"/>
      <c r="B4" s="124"/>
      <c r="C4" s="24" t="s">
        <v>20</v>
      </c>
      <c r="D4" s="25" t="s">
        <v>19</v>
      </c>
      <c r="E4" s="24" t="s">
        <v>20</v>
      </c>
      <c r="F4" s="25" t="s">
        <v>19</v>
      </c>
      <c r="G4" s="24" t="s">
        <v>20</v>
      </c>
      <c r="H4" s="25" t="s">
        <v>19</v>
      </c>
      <c r="I4" s="24" t="s">
        <v>20</v>
      </c>
      <c r="J4" s="25" t="s">
        <v>19</v>
      </c>
      <c r="K4" s="24" t="s">
        <v>20</v>
      </c>
      <c r="L4" s="25" t="s">
        <v>19</v>
      </c>
      <c r="M4" s="130"/>
    </row>
    <row r="5" spans="1:15" ht="28.5" customHeight="1">
      <c r="A5" s="22" t="s">
        <v>6</v>
      </c>
      <c r="B5" s="23" t="s">
        <v>11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5" ht="30.75" customHeight="1">
      <c r="A6" s="90">
        <v>914</v>
      </c>
      <c r="B6" s="93" t="s">
        <v>13</v>
      </c>
      <c r="C6" s="82">
        <v>0.94</v>
      </c>
      <c r="D6" s="94">
        <f>C6*35</f>
        <v>32.9</v>
      </c>
      <c r="E6" s="82">
        <v>0</v>
      </c>
      <c r="F6" s="94">
        <f>E6*15</f>
        <v>0</v>
      </c>
      <c r="G6" s="82">
        <v>0</v>
      </c>
      <c r="H6" s="94">
        <f>G6*20</f>
        <v>0</v>
      </c>
      <c r="I6" s="82">
        <v>1</v>
      </c>
      <c r="J6" s="94">
        <f>I6*15</f>
        <v>15</v>
      </c>
      <c r="K6" s="82">
        <v>1</v>
      </c>
      <c r="L6" s="94">
        <f>K6*15</f>
        <v>15</v>
      </c>
      <c r="M6" s="84">
        <f>(D6+F6+H6+J6+L6)*0.15</f>
        <v>9.4349999999999987</v>
      </c>
      <c r="N6" s="12"/>
      <c r="O6" s="13"/>
    </row>
    <row r="7" spans="1:15" ht="30.75" customHeight="1">
      <c r="A7" s="91">
        <v>918</v>
      </c>
      <c r="B7" s="95" t="s">
        <v>15</v>
      </c>
      <c r="C7" s="15">
        <v>0.99</v>
      </c>
      <c r="D7" s="9">
        <f t="shared" ref="D7:D8" si="0">C7*35</f>
        <v>34.65</v>
      </c>
      <c r="E7" s="15">
        <v>0.8</v>
      </c>
      <c r="F7" s="9">
        <f t="shared" ref="F7:F8" si="1">E7*15</f>
        <v>12</v>
      </c>
      <c r="G7" s="15">
        <v>0.5</v>
      </c>
      <c r="H7" s="9">
        <f t="shared" ref="H7:H8" si="2">G7*20</f>
        <v>10</v>
      </c>
      <c r="I7" s="15">
        <v>1</v>
      </c>
      <c r="J7" s="9">
        <f t="shared" ref="J7:J8" si="3">I7*15</f>
        <v>15</v>
      </c>
      <c r="K7" s="15">
        <v>1</v>
      </c>
      <c r="L7" s="9">
        <f t="shared" ref="L7:L8" si="4">K7*15</f>
        <v>15</v>
      </c>
      <c r="M7" s="76">
        <f t="shared" ref="M7" si="5">(D7+F7+H7+J7+L7)*0.15</f>
        <v>12.9975</v>
      </c>
      <c r="N7" s="12"/>
      <c r="O7" s="13"/>
    </row>
    <row r="8" spans="1:15" ht="30.75" customHeight="1">
      <c r="A8" s="91">
        <v>919</v>
      </c>
      <c r="B8" s="95" t="s">
        <v>16</v>
      </c>
      <c r="C8" s="26">
        <v>0.99</v>
      </c>
      <c r="D8" s="9">
        <f t="shared" si="0"/>
        <v>34.65</v>
      </c>
      <c r="E8" s="26">
        <v>0.6</v>
      </c>
      <c r="F8" s="9">
        <f t="shared" si="1"/>
        <v>9</v>
      </c>
      <c r="G8" s="26">
        <v>1</v>
      </c>
      <c r="H8" s="9">
        <f t="shared" si="2"/>
        <v>20</v>
      </c>
      <c r="I8" s="26">
        <v>1</v>
      </c>
      <c r="J8" s="9">
        <f t="shared" si="3"/>
        <v>15</v>
      </c>
      <c r="K8" s="26">
        <v>1</v>
      </c>
      <c r="L8" s="9">
        <f t="shared" si="4"/>
        <v>15</v>
      </c>
      <c r="M8" s="76">
        <f>(D8+F8+H8+J8+L8)*0.151</f>
        <v>14.14115</v>
      </c>
      <c r="N8" s="12"/>
      <c r="O8" s="13"/>
    </row>
    <row r="9" spans="1:15" ht="30.75" customHeight="1">
      <c r="A9" s="92" t="s">
        <v>6</v>
      </c>
      <c r="B9" s="23" t="s">
        <v>12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/>
      <c r="O9" s="13"/>
    </row>
    <row r="10" spans="1:15" ht="30.75" customHeight="1">
      <c r="A10" s="91">
        <v>913</v>
      </c>
      <c r="B10" s="95" t="s">
        <v>17</v>
      </c>
      <c r="C10" s="19">
        <v>0.98</v>
      </c>
      <c r="D10" s="4">
        <f>C10*(35+(35/70*30))</f>
        <v>49</v>
      </c>
      <c r="E10" s="19" t="s">
        <v>2</v>
      </c>
      <c r="F10" s="19" t="s">
        <v>2</v>
      </c>
      <c r="G10" s="19">
        <v>0</v>
      </c>
      <c r="H10" s="4">
        <f>G10*(20+(20/70*30))</f>
        <v>0</v>
      </c>
      <c r="I10" s="19">
        <v>1</v>
      </c>
      <c r="J10" s="4">
        <f>I10*(15+(15/70*30))</f>
        <v>21.428571428571427</v>
      </c>
      <c r="K10" s="19" t="s">
        <v>2</v>
      </c>
      <c r="L10" s="19" t="s">
        <v>2</v>
      </c>
      <c r="M10" s="76">
        <f>(D10+H10+J10)*0.1923</f>
        <v>13.543414285714286</v>
      </c>
      <c r="N10" s="12"/>
      <c r="O10" s="13"/>
    </row>
    <row r="11" spans="1:15" ht="30.75" customHeight="1">
      <c r="A11" s="91">
        <v>916</v>
      </c>
      <c r="B11" s="95" t="s">
        <v>14</v>
      </c>
      <c r="C11" s="15">
        <v>0.96</v>
      </c>
      <c r="D11" s="4">
        <f>C11*(35+(35/70*30))</f>
        <v>48</v>
      </c>
      <c r="E11" s="15" t="s">
        <v>2</v>
      </c>
      <c r="F11" s="15" t="s">
        <v>2</v>
      </c>
      <c r="G11" s="15">
        <v>0.5</v>
      </c>
      <c r="H11" s="4">
        <f>G11*(20+(20/70*30))</f>
        <v>14.285714285714285</v>
      </c>
      <c r="I11" s="15">
        <v>1</v>
      </c>
      <c r="J11" s="4">
        <f>I11*(15+(15/70*30))</f>
        <v>21.428571428571427</v>
      </c>
      <c r="K11" s="15" t="s">
        <v>2</v>
      </c>
      <c r="L11" s="15" t="s">
        <v>2</v>
      </c>
      <c r="M11" s="76">
        <f>(D11+H11+J11)*0.1807</f>
        <v>15.127171428571428</v>
      </c>
      <c r="N11" s="12"/>
      <c r="O11" s="13"/>
    </row>
    <row r="12" spans="1:15" ht="30.75" customHeight="1">
      <c r="A12" s="91">
        <v>924</v>
      </c>
      <c r="B12" s="96" t="s">
        <v>18</v>
      </c>
      <c r="C12" s="69">
        <v>1</v>
      </c>
      <c r="D12" s="72">
        <f t="shared" ref="D12" si="6">C12*(35+(35/70*30))</f>
        <v>50</v>
      </c>
      <c r="E12" s="69" t="s">
        <v>2</v>
      </c>
      <c r="F12" s="69" t="s">
        <v>2</v>
      </c>
      <c r="G12" s="69">
        <v>0.5</v>
      </c>
      <c r="H12" s="72">
        <f>G12*(20+(20/70*30))</f>
        <v>14.285714285714285</v>
      </c>
      <c r="I12" s="69">
        <v>1</v>
      </c>
      <c r="J12" s="72">
        <f>I12*(15+(15/70*30))</f>
        <v>21.428571428571427</v>
      </c>
      <c r="K12" s="69" t="s">
        <v>2</v>
      </c>
      <c r="L12" s="69" t="s">
        <v>2</v>
      </c>
      <c r="M12" s="97">
        <f t="shared" ref="M12" si="7">(D12+H12+J12)*0.1923</f>
        <v>16.482857142857142</v>
      </c>
      <c r="N12" s="12"/>
      <c r="O12" s="13"/>
    </row>
    <row r="13" spans="1:15">
      <c r="M13" s="12"/>
      <c r="O13" s="13"/>
    </row>
  </sheetData>
  <mergeCells count="11">
    <mergeCell ref="A1:M1"/>
    <mergeCell ref="C5:M5"/>
    <mergeCell ref="C9:M9"/>
    <mergeCell ref="M3:M4"/>
    <mergeCell ref="A3:A4"/>
    <mergeCell ref="B3:B4"/>
    <mergeCell ref="C3:D3"/>
    <mergeCell ref="E3:F3"/>
    <mergeCell ref="G3:H3"/>
    <mergeCell ref="I3:J3"/>
    <mergeCell ref="K3:L3"/>
  </mergeCells>
  <pageMargins left="0.70866141732283472" right="0.39370078740157483" top="0.39370078740157483" bottom="0.15748031496062992" header="0.15748031496062992" footer="0.15748031496062992"/>
  <pageSetup paperSize="9" scale="56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Normal="100" workbookViewId="0">
      <selection activeCell="E17" sqref="E17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85546875" style="7" customWidth="1"/>
    <col min="6" max="6" width="10.28515625" style="7" customWidth="1"/>
    <col min="7" max="7" width="11" style="7" customWidth="1"/>
    <col min="8" max="8" width="10.7109375" style="7" customWidth="1"/>
    <col min="9" max="9" width="11.140625" style="7" customWidth="1"/>
    <col min="10" max="10" width="10.28515625" style="7" customWidth="1"/>
    <col min="11" max="11" width="11" style="7" customWidth="1"/>
    <col min="12" max="12" width="12.7109375" style="7" customWidth="1"/>
    <col min="13" max="13" width="11.140625" style="7" customWidth="1"/>
    <col min="14" max="14" width="10.28515625" style="7" customWidth="1"/>
    <col min="15" max="15" width="11.7109375" style="7" bestFit="1" customWidth="1"/>
    <col min="16" max="16384" width="8.85546875" style="7"/>
  </cols>
  <sheetData>
    <row r="1" spans="1:19" ht="36" customHeight="1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9" ht="197.25" customHeight="1">
      <c r="A3" s="137" t="s">
        <v>0</v>
      </c>
      <c r="B3" s="124" t="s">
        <v>1</v>
      </c>
      <c r="C3" s="114" t="s">
        <v>22</v>
      </c>
      <c r="D3" s="115"/>
      <c r="E3" s="114" t="s">
        <v>4</v>
      </c>
      <c r="F3" s="115"/>
      <c r="G3" s="119" t="s">
        <v>23</v>
      </c>
      <c r="H3" s="120"/>
      <c r="I3" s="119" t="s">
        <v>47</v>
      </c>
      <c r="J3" s="120"/>
      <c r="K3" s="119" t="s">
        <v>48</v>
      </c>
      <c r="L3" s="120"/>
      <c r="M3" s="119" t="s">
        <v>49</v>
      </c>
      <c r="N3" s="120"/>
      <c r="O3" s="135" t="s">
        <v>21</v>
      </c>
    </row>
    <row r="4" spans="1:19" ht="37.5" customHeight="1">
      <c r="A4" s="138"/>
      <c r="B4" s="124"/>
      <c r="C4" s="24" t="s">
        <v>20</v>
      </c>
      <c r="D4" s="25" t="s">
        <v>19</v>
      </c>
      <c r="E4" s="24" t="s">
        <v>20</v>
      </c>
      <c r="F4" s="25" t="s">
        <v>19</v>
      </c>
      <c r="G4" s="24" t="s">
        <v>20</v>
      </c>
      <c r="H4" s="25" t="s">
        <v>19</v>
      </c>
      <c r="I4" s="24" t="s">
        <v>20</v>
      </c>
      <c r="J4" s="25" t="s">
        <v>19</v>
      </c>
      <c r="K4" s="24" t="s">
        <v>20</v>
      </c>
      <c r="L4" s="25" t="s">
        <v>19</v>
      </c>
      <c r="M4" s="24" t="s">
        <v>20</v>
      </c>
      <c r="N4" s="25" t="s">
        <v>19</v>
      </c>
      <c r="O4" s="136"/>
    </row>
    <row r="5" spans="1:19" ht="33.75" customHeight="1">
      <c r="A5" s="22" t="s">
        <v>6</v>
      </c>
      <c r="B5" s="23" t="s">
        <v>11</v>
      </c>
      <c r="C5" s="133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9" ht="33" customHeight="1">
      <c r="A6" s="63">
        <v>914</v>
      </c>
      <c r="B6" s="28" t="s">
        <v>13</v>
      </c>
      <c r="C6" s="19">
        <v>0.89</v>
      </c>
      <c r="D6" s="10">
        <f>C6*25</f>
        <v>22.25</v>
      </c>
      <c r="E6" s="19">
        <v>0</v>
      </c>
      <c r="F6" s="10">
        <f>E6*20</f>
        <v>0</v>
      </c>
      <c r="G6" s="19">
        <v>0</v>
      </c>
      <c r="H6" s="10">
        <f>G6*20</f>
        <v>0</v>
      </c>
      <c r="I6" s="10">
        <v>0</v>
      </c>
      <c r="J6" s="10">
        <f>I6*10</f>
        <v>0</v>
      </c>
      <c r="K6" s="19">
        <v>0</v>
      </c>
      <c r="L6" s="10">
        <f>K6*15</f>
        <v>0</v>
      </c>
      <c r="M6" s="10">
        <v>1</v>
      </c>
      <c r="N6" s="10">
        <f>M6*10</f>
        <v>10</v>
      </c>
      <c r="O6" s="76">
        <f>(D6+F6+H6+L6+N6+J6)*0.15</f>
        <v>4.8374999999999995</v>
      </c>
      <c r="P6" s="13"/>
      <c r="Q6" s="13"/>
      <c r="S6" s="13"/>
    </row>
    <row r="7" spans="1:19" ht="33" customHeight="1">
      <c r="A7" s="64">
        <v>918</v>
      </c>
      <c r="B7" s="28" t="s">
        <v>15</v>
      </c>
      <c r="C7" s="19" t="s">
        <v>2</v>
      </c>
      <c r="D7" s="8" t="s">
        <v>2</v>
      </c>
      <c r="E7" s="15">
        <v>1</v>
      </c>
      <c r="F7" s="8">
        <f>E7*(20+(20/55*45))</f>
        <v>36.36363636363636</v>
      </c>
      <c r="G7" s="19" t="s">
        <v>2</v>
      </c>
      <c r="H7" s="19" t="s">
        <v>2</v>
      </c>
      <c r="I7" s="10">
        <v>1</v>
      </c>
      <c r="J7" s="8">
        <f>I7*(10+(10/55*45))</f>
        <v>18.18181818181818</v>
      </c>
      <c r="K7" s="19">
        <v>1</v>
      </c>
      <c r="L7" s="8">
        <f>K7*(15+(15/55*45))</f>
        <v>27.272727272727273</v>
      </c>
      <c r="M7" s="10">
        <v>1</v>
      </c>
      <c r="N7" s="8">
        <f>M7*(10+(10/55*45))</f>
        <v>18.18181818181818</v>
      </c>
      <c r="O7" s="76">
        <f>(F7+J7+L7+N7)*0.15</f>
        <v>15</v>
      </c>
      <c r="P7" s="13"/>
      <c r="Q7" s="13"/>
      <c r="S7" s="13"/>
    </row>
    <row r="8" spans="1:19" ht="33" customHeight="1">
      <c r="A8" s="64">
        <v>919</v>
      </c>
      <c r="B8" s="28" t="s">
        <v>16</v>
      </c>
      <c r="C8" s="35" t="s">
        <v>2</v>
      </c>
      <c r="D8" s="27" t="s">
        <v>2</v>
      </c>
      <c r="E8" s="26">
        <v>1</v>
      </c>
      <c r="F8" s="8">
        <f>E8*(20+(20/40*60))</f>
        <v>50</v>
      </c>
      <c r="G8" s="35" t="s">
        <v>2</v>
      </c>
      <c r="H8" s="35" t="s">
        <v>2</v>
      </c>
      <c r="I8" s="34">
        <v>1</v>
      </c>
      <c r="J8" s="8">
        <f>I8*(10+(10/40*60))</f>
        <v>25</v>
      </c>
      <c r="K8" s="35" t="s">
        <v>2</v>
      </c>
      <c r="L8" s="8" t="s">
        <v>2</v>
      </c>
      <c r="M8" s="34">
        <v>1</v>
      </c>
      <c r="N8" s="8">
        <f>M8*(10+(10/40*60))</f>
        <v>25</v>
      </c>
      <c r="O8" s="76">
        <f>(F8+J8+N8)*0.15</f>
        <v>15</v>
      </c>
      <c r="P8" s="13"/>
      <c r="Q8" s="13"/>
      <c r="S8" s="13"/>
    </row>
    <row r="9" spans="1:19" ht="30.75" customHeight="1">
      <c r="A9" s="22" t="s">
        <v>6</v>
      </c>
      <c r="B9" s="23" t="s">
        <v>12</v>
      </c>
      <c r="C9" s="134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3"/>
      <c r="Q9" s="13"/>
      <c r="S9" s="13"/>
    </row>
    <row r="10" spans="1:19" ht="26.25" customHeight="1">
      <c r="A10" s="64">
        <v>913</v>
      </c>
      <c r="B10" s="28" t="s">
        <v>17</v>
      </c>
      <c r="C10" s="19" t="s">
        <v>2</v>
      </c>
      <c r="D10" s="10" t="s">
        <v>2</v>
      </c>
      <c r="E10" s="19">
        <v>1</v>
      </c>
      <c r="F10" s="8">
        <f>E10*(20+(20/30*70))</f>
        <v>66.666666666666657</v>
      </c>
      <c r="G10" s="19" t="s">
        <v>2</v>
      </c>
      <c r="H10" s="10" t="s">
        <v>2</v>
      </c>
      <c r="I10" s="19" t="s">
        <v>2</v>
      </c>
      <c r="J10" s="19" t="s">
        <v>2</v>
      </c>
      <c r="K10" s="19" t="s">
        <v>2</v>
      </c>
      <c r="L10" s="8" t="s">
        <v>2</v>
      </c>
      <c r="M10" s="10">
        <v>1</v>
      </c>
      <c r="N10" s="8">
        <f>M10*(10+(10/30*70))</f>
        <v>33.333333333333329</v>
      </c>
      <c r="O10" s="76">
        <f>(F10+N10)*0.1923</f>
        <v>19.229999999999997</v>
      </c>
      <c r="P10" s="13"/>
      <c r="Q10" s="13"/>
      <c r="S10" s="13"/>
    </row>
    <row r="11" spans="1:19" ht="33" customHeight="1">
      <c r="A11" s="64">
        <v>916</v>
      </c>
      <c r="B11" s="28" t="s">
        <v>14</v>
      </c>
      <c r="C11" s="19" t="s">
        <v>2</v>
      </c>
      <c r="D11" s="10" t="s">
        <v>2</v>
      </c>
      <c r="E11" s="15">
        <v>1</v>
      </c>
      <c r="F11" s="8">
        <f t="shared" ref="F11:F12" si="0">E11*(20+(20/45*55))</f>
        <v>44.444444444444443</v>
      </c>
      <c r="G11" s="19" t="s">
        <v>2</v>
      </c>
      <c r="H11" s="10" t="s">
        <v>2</v>
      </c>
      <c r="I11" s="19" t="s">
        <v>2</v>
      </c>
      <c r="J11" s="19" t="s">
        <v>2</v>
      </c>
      <c r="K11" s="19">
        <v>1</v>
      </c>
      <c r="L11" s="8">
        <f t="shared" ref="L11:L12" si="1">K11*(15+(15/45*55))</f>
        <v>33.333333333333329</v>
      </c>
      <c r="M11" s="10">
        <v>1</v>
      </c>
      <c r="N11" s="8">
        <f t="shared" ref="N11:N12" si="2">M11*(10+(10/45*55))</f>
        <v>22.222222222222221</v>
      </c>
      <c r="O11" s="76">
        <f>(F11+L11+N11)*0.1807</f>
        <v>18.07</v>
      </c>
      <c r="P11" s="13"/>
      <c r="Q11" s="13"/>
      <c r="S11" s="13"/>
    </row>
    <row r="12" spans="1:19" ht="28.5" customHeight="1">
      <c r="A12" s="65">
        <v>924</v>
      </c>
      <c r="B12" s="66" t="s">
        <v>18</v>
      </c>
      <c r="C12" s="67" t="s">
        <v>2</v>
      </c>
      <c r="D12" s="98" t="s">
        <v>2</v>
      </c>
      <c r="E12" s="69">
        <v>1</v>
      </c>
      <c r="F12" s="68">
        <f t="shared" si="0"/>
        <v>44.444444444444443</v>
      </c>
      <c r="G12" s="67" t="s">
        <v>2</v>
      </c>
      <c r="H12" s="98" t="s">
        <v>2</v>
      </c>
      <c r="I12" s="67" t="s">
        <v>2</v>
      </c>
      <c r="J12" s="67" t="s">
        <v>2</v>
      </c>
      <c r="K12" s="67">
        <v>1</v>
      </c>
      <c r="L12" s="68">
        <f t="shared" si="1"/>
        <v>33.333333333333329</v>
      </c>
      <c r="M12" s="98">
        <v>1</v>
      </c>
      <c r="N12" s="68">
        <f t="shared" si="2"/>
        <v>22.222222222222221</v>
      </c>
      <c r="O12" s="97">
        <f>(F12+L12+N12)*0.1923</f>
        <v>19.23</v>
      </c>
      <c r="P12" s="13"/>
      <c r="Q12" s="13"/>
      <c r="S12" s="13"/>
    </row>
  </sheetData>
  <mergeCells count="12">
    <mergeCell ref="A1:O1"/>
    <mergeCell ref="M3:N3"/>
    <mergeCell ref="C5:O5"/>
    <mergeCell ref="C9:O9"/>
    <mergeCell ref="O3:O4"/>
    <mergeCell ref="A3:A4"/>
    <mergeCell ref="B3:B4"/>
    <mergeCell ref="C3:D3"/>
    <mergeCell ref="E3:F3"/>
    <mergeCell ref="G3:H3"/>
    <mergeCell ref="K3:L3"/>
    <mergeCell ref="I3:J3"/>
  </mergeCells>
  <pageMargins left="0.70866141732283472" right="0.27" top="0.51" bottom="0.27559055118110237" header="0.31496062992125984" footer="0.31496062992125984"/>
  <pageSetup paperSize="9" scale="7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Normal="100" workbookViewId="0">
      <selection activeCell="A5" sqref="A5:K12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85546875" style="7" customWidth="1"/>
    <col min="6" max="6" width="10.28515625" style="7" customWidth="1"/>
    <col min="7" max="7" width="11" style="7" customWidth="1"/>
    <col min="8" max="8" width="10.7109375" style="7" customWidth="1"/>
    <col min="9" max="9" width="11.140625" style="7" customWidth="1"/>
    <col min="10" max="10" width="10.28515625" style="7" customWidth="1"/>
    <col min="11" max="11" width="11.7109375" style="7" bestFit="1" customWidth="1"/>
    <col min="12" max="16384" width="8.85546875" style="7"/>
  </cols>
  <sheetData>
    <row r="1" spans="1:15" ht="36" customHeight="1">
      <c r="A1" s="132" t="s">
        <v>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3" spans="1:15" ht="126" customHeight="1">
      <c r="A3" s="137" t="s">
        <v>0</v>
      </c>
      <c r="B3" s="124" t="s">
        <v>1</v>
      </c>
      <c r="C3" s="114" t="s">
        <v>51</v>
      </c>
      <c r="D3" s="115"/>
      <c r="E3" s="114" t="s">
        <v>52</v>
      </c>
      <c r="F3" s="115"/>
      <c r="G3" s="119" t="s">
        <v>53</v>
      </c>
      <c r="H3" s="120"/>
      <c r="I3" s="119" t="s">
        <v>54</v>
      </c>
      <c r="J3" s="120"/>
      <c r="K3" s="135" t="s">
        <v>21</v>
      </c>
    </row>
    <row r="4" spans="1:15" ht="37.5" customHeight="1">
      <c r="A4" s="138"/>
      <c r="B4" s="124"/>
      <c r="C4" s="24" t="s">
        <v>20</v>
      </c>
      <c r="D4" s="25" t="s">
        <v>19</v>
      </c>
      <c r="E4" s="24" t="s">
        <v>20</v>
      </c>
      <c r="F4" s="25" t="s">
        <v>19</v>
      </c>
      <c r="G4" s="24" t="s">
        <v>20</v>
      </c>
      <c r="H4" s="25" t="s">
        <v>19</v>
      </c>
      <c r="I4" s="24" t="s">
        <v>20</v>
      </c>
      <c r="J4" s="25" t="s">
        <v>19</v>
      </c>
      <c r="K4" s="136"/>
    </row>
    <row r="5" spans="1:15" ht="33.75" customHeight="1">
      <c r="A5" s="22" t="s">
        <v>6</v>
      </c>
      <c r="B5" s="23" t="s">
        <v>11</v>
      </c>
      <c r="C5" s="133"/>
      <c r="D5" s="126"/>
      <c r="E5" s="126"/>
      <c r="F5" s="126"/>
      <c r="G5" s="126"/>
      <c r="H5" s="126"/>
      <c r="I5" s="126"/>
      <c r="J5" s="126"/>
      <c r="K5" s="127"/>
    </row>
    <row r="6" spans="1:15" ht="33" customHeight="1">
      <c r="A6" s="63">
        <v>914</v>
      </c>
      <c r="B6" s="28" t="s">
        <v>13</v>
      </c>
      <c r="C6" s="19">
        <v>1</v>
      </c>
      <c r="D6" s="10">
        <f>C6*30</f>
        <v>30</v>
      </c>
      <c r="E6" s="19">
        <v>0</v>
      </c>
      <c r="F6" s="10">
        <f>E6*20</f>
        <v>0</v>
      </c>
      <c r="G6" s="19">
        <v>1</v>
      </c>
      <c r="H6" s="10">
        <f>G6*30</f>
        <v>30</v>
      </c>
      <c r="I6" s="10">
        <v>0</v>
      </c>
      <c r="J6" s="10">
        <f>I6*20</f>
        <v>0</v>
      </c>
      <c r="K6" s="76">
        <f>(D6+F6+H6+J6)*0.15</f>
        <v>9</v>
      </c>
      <c r="L6" s="13"/>
      <c r="M6" s="13"/>
      <c r="O6" s="13"/>
    </row>
    <row r="7" spans="1:15" ht="33" customHeight="1">
      <c r="A7" s="64">
        <v>918</v>
      </c>
      <c r="B7" s="28" t="s">
        <v>15</v>
      </c>
      <c r="C7" s="19">
        <v>1</v>
      </c>
      <c r="D7" s="10">
        <f t="shared" ref="D7:D8" si="0">C7*30</f>
        <v>30</v>
      </c>
      <c r="E7" s="15">
        <v>0</v>
      </c>
      <c r="F7" s="8">
        <f>E7*20</f>
        <v>0</v>
      </c>
      <c r="G7" s="19">
        <v>1</v>
      </c>
      <c r="H7" s="10">
        <f t="shared" ref="H7:H8" si="1">G7*30</f>
        <v>30</v>
      </c>
      <c r="I7" s="10">
        <v>0</v>
      </c>
      <c r="J7" s="10">
        <f t="shared" ref="J7:J8" si="2">I7*20</f>
        <v>0</v>
      </c>
      <c r="K7" s="76">
        <f t="shared" ref="K7:K8" si="3">(D7+F7+H7+J7)*0.15</f>
        <v>9</v>
      </c>
      <c r="L7" s="13"/>
      <c r="M7" s="13"/>
      <c r="O7" s="13"/>
    </row>
    <row r="8" spans="1:15" ht="33" customHeight="1">
      <c r="A8" s="64">
        <v>919</v>
      </c>
      <c r="B8" s="28" t="s">
        <v>16</v>
      </c>
      <c r="C8" s="35">
        <v>1</v>
      </c>
      <c r="D8" s="10">
        <f t="shared" si="0"/>
        <v>30</v>
      </c>
      <c r="E8" s="26">
        <v>0</v>
      </c>
      <c r="F8" s="8">
        <f>E8*20</f>
        <v>0</v>
      </c>
      <c r="G8" s="35">
        <v>1</v>
      </c>
      <c r="H8" s="10">
        <f t="shared" si="1"/>
        <v>30</v>
      </c>
      <c r="I8" s="34">
        <v>0</v>
      </c>
      <c r="J8" s="10">
        <f t="shared" si="2"/>
        <v>0</v>
      </c>
      <c r="K8" s="76">
        <f t="shared" si="3"/>
        <v>9</v>
      </c>
      <c r="L8" s="13"/>
      <c r="M8" s="13"/>
      <c r="O8" s="13"/>
    </row>
    <row r="9" spans="1:15" ht="30.75" customHeight="1">
      <c r="A9" s="22" t="s">
        <v>6</v>
      </c>
      <c r="B9" s="23" t="s">
        <v>12</v>
      </c>
      <c r="C9" s="134"/>
      <c r="D9" s="128"/>
      <c r="E9" s="128"/>
      <c r="F9" s="128"/>
      <c r="G9" s="128"/>
      <c r="H9" s="128"/>
      <c r="I9" s="128"/>
      <c r="J9" s="128"/>
      <c r="K9" s="129"/>
      <c r="L9" s="13"/>
      <c r="M9" s="13"/>
      <c r="O9" s="13"/>
    </row>
    <row r="10" spans="1:15" ht="26.25" customHeight="1">
      <c r="A10" s="64">
        <v>913</v>
      </c>
      <c r="B10" s="28" t="s">
        <v>17</v>
      </c>
      <c r="C10" s="19">
        <v>1</v>
      </c>
      <c r="D10" s="8">
        <f>C10*(30+(30/50*50))</f>
        <v>60</v>
      </c>
      <c r="E10" s="19">
        <v>0</v>
      </c>
      <c r="F10" s="8">
        <f>E10*(20+(20/50*50))</f>
        <v>0</v>
      </c>
      <c r="G10" s="19" t="s">
        <v>2</v>
      </c>
      <c r="H10" s="10" t="s">
        <v>2</v>
      </c>
      <c r="I10" s="19" t="s">
        <v>2</v>
      </c>
      <c r="J10" s="8" t="s">
        <v>2</v>
      </c>
      <c r="K10" s="76">
        <f>(D10+F10)*0.1923</f>
        <v>11.538</v>
      </c>
      <c r="L10" s="13"/>
      <c r="M10" s="13"/>
      <c r="O10" s="13"/>
    </row>
    <row r="11" spans="1:15" ht="33" customHeight="1">
      <c r="A11" s="64">
        <v>916</v>
      </c>
      <c r="B11" s="28" t="s">
        <v>14</v>
      </c>
      <c r="C11" s="19">
        <v>1</v>
      </c>
      <c r="D11" s="8">
        <f t="shared" ref="D11:D12" si="4">C11*(30+(30/50*50))</f>
        <v>60</v>
      </c>
      <c r="E11" s="15">
        <v>1</v>
      </c>
      <c r="F11" s="8">
        <f t="shared" ref="F11:F12" si="5">E11*(20+(20/50*50))</f>
        <v>40</v>
      </c>
      <c r="G11" s="19" t="s">
        <v>2</v>
      </c>
      <c r="H11" s="10" t="s">
        <v>2</v>
      </c>
      <c r="I11" s="19" t="s">
        <v>2</v>
      </c>
      <c r="J11" s="8" t="s">
        <v>2</v>
      </c>
      <c r="K11" s="76">
        <f>(D11+F11)*0.1807</f>
        <v>18.07</v>
      </c>
      <c r="L11" s="13"/>
      <c r="M11" s="13"/>
      <c r="O11" s="13"/>
    </row>
    <row r="12" spans="1:15" ht="28.5" customHeight="1">
      <c r="A12" s="65">
        <v>924</v>
      </c>
      <c r="B12" s="66" t="s">
        <v>18</v>
      </c>
      <c r="C12" s="67">
        <v>1</v>
      </c>
      <c r="D12" s="68">
        <f t="shared" si="4"/>
        <v>60</v>
      </c>
      <c r="E12" s="69">
        <v>1</v>
      </c>
      <c r="F12" s="68">
        <f t="shared" si="5"/>
        <v>40</v>
      </c>
      <c r="G12" s="67" t="s">
        <v>2</v>
      </c>
      <c r="H12" s="98" t="s">
        <v>2</v>
      </c>
      <c r="I12" s="67" t="s">
        <v>2</v>
      </c>
      <c r="J12" s="68" t="s">
        <v>2</v>
      </c>
      <c r="K12" s="97">
        <f t="shared" ref="K12" si="6">(D12+F12)*0.1923</f>
        <v>19.23</v>
      </c>
      <c r="L12" s="13"/>
      <c r="M12" s="13"/>
      <c r="O12" s="13"/>
    </row>
  </sheetData>
  <mergeCells count="10">
    <mergeCell ref="C5:K5"/>
    <mergeCell ref="C9:K9"/>
    <mergeCell ref="A1:K1"/>
    <mergeCell ref="A3:A4"/>
    <mergeCell ref="B3:B4"/>
    <mergeCell ref="C3:D3"/>
    <mergeCell ref="E3:F3"/>
    <mergeCell ref="G3:H3"/>
    <mergeCell ref="I3:J3"/>
    <mergeCell ref="K3:K4"/>
  </mergeCells>
  <pageMargins left="0.70866141732283472" right="0.27" top="0.51" bottom="0.27559055118110237" header="0.31496062992125984" footer="0.31496062992125984"/>
  <pageSetup paperSize="9" scale="9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Normal="100" workbookViewId="0">
      <selection activeCell="A6" sqref="A6:E12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7109375" style="7" bestFit="1" customWidth="1"/>
    <col min="6" max="16384" width="8.85546875" style="7"/>
  </cols>
  <sheetData>
    <row r="1" spans="1:9" ht="36" customHeight="1">
      <c r="A1" s="132" t="s">
        <v>55</v>
      </c>
      <c r="B1" s="132"/>
      <c r="C1" s="132"/>
      <c r="D1" s="132"/>
      <c r="E1" s="132"/>
    </row>
    <row r="3" spans="1:9" ht="98.25" customHeight="1">
      <c r="A3" s="137" t="s">
        <v>0</v>
      </c>
      <c r="B3" s="124" t="s">
        <v>1</v>
      </c>
      <c r="C3" s="114" t="s">
        <v>56</v>
      </c>
      <c r="D3" s="115"/>
      <c r="E3" s="135" t="s">
        <v>21</v>
      </c>
    </row>
    <row r="4" spans="1:9" ht="37.5" customHeight="1">
      <c r="A4" s="138"/>
      <c r="B4" s="124"/>
      <c r="C4" s="24" t="s">
        <v>20</v>
      </c>
      <c r="D4" s="25" t="s">
        <v>19</v>
      </c>
      <c r="E4" s="136"/>
    </row>
    <row r="5" spans="1:9" ht="33.75" customHeight="1">
      <c r="A5" s="22" t="s">
        <v>6</v>
      </c>
      <c r="B5" s="23" t="s">
        <v>11</v>
      </c>
      <c r="C5" s="133"/>
      <c r="D5" s="126"/>
      <c r="E5" s="127"/>
    </row>
    <row r="6" spans="1:9" ht="33" customHeight="1">
      <c r="A6" s="80">
        <v>914</v>
      </c>
      <c r="B6" s="81" t="s">
        <v>13</v>
      </c>
      <c r="C6" s="82">
        <v>1</v>
      </c>
      <c r="D6" s="83">
        <f>C6*100</f>
        <v>100</v>
      </c>
      <c r="E6" s="84">
        <f>D6*0.05</f>
        <v>5</v>
      </c>
      <c r="F6" s="13"/>
      <c r="G6" s="13"/>
      <c r="I6" s="13"/>
    </row>
    <row r="7" spans="1:9" ht="33" customHeight="1">
      <c r="A7" s="64">
        <v>918</v>
      </c>
      <c r="B7" s="28" t="s">
        <v>15</v>
      </c>
      <c r="C7" s="19">
        <v>0.5</v>
      </c>
      <c r="D7" s="10">
        <f t="shared" ref="D7:D12" si="0">C7*100</f>
        <v>50</v>
      </c>
      <c r="E7" s="76">
        <f t="shared" ref="E7:E8" si="1">D7*0.05</f>
        <v>2.5</v>
      </c>
      <c r="F7" s="13"/>
      <c r="G7" s="13"/>
      <c r="I7" s="13"/>
    </row>
    <row r="8" spans="1:9" ht="33" customHeight="1">
      <c r="A8" s="64">
        <v>919</v>
      </c>
      <c r="B8" s="28" t="s">
        <v>16</v>
      </c>
      <c r="C8" s="19">
        <v>1</v>
      </c>
      <c r="D8" s="10">
        <f t="shared" si="0"/>
        <v>100</v>
      </c>
      <c r="E8" s="76">
        <f t="shared" si="1"/>
        <v>5</v>
      </c>
      <c r="F8" s="13"/>
      <c r="G8" s="13"/>
      <c r="I8" s="13"/>
    </row>
    <row r="9" spans="1:9" ht="30.75" customHeight="1">
      <c r="A9" s="22" t="s">
        <v>6</v>
      </c>
      <c r="B9" s="23" t="s">
        <v>12</v>
      </c>
      <c r="C9" s="134"/>
      <c r="D9" s="128"/>
      <c r="E9" s="129"/>
      <c r="F9" s="13"/>
      <c r="G9" s="13"/>
      <c r="I9" s="13"/>
    </row>
    <row r="10" spans="1:9" ht="26.25" customHeight="1">
      <c r="A10" s="64">
        <v>913</v>
      </c>
      <c r="B10" s="28" t="s">
        <v>17</v>
      </c>
      <c r="C10" s="19">
        <v>1</v>
      </c>
      <c r="D10" s="10">
        <f t="shared" si="0"/>
        <v>100</v>
      </c>
      <c r="E10" s="76">
        <f>D10*0.0641</f>
        <v>6.41</v>
      </c>
      <c r="F10" s="13"/>
      <c r="G10" s="13"/>
      <c r="I10" s="13"/>
    </row>
    <row r="11" spans="1:9" ht="33" customHeight="1">
      <c r="A11" s="64">
        <v>916</v>
      </c>
      <c r="B11" s="28" t="s">
        <v>14</v>
      </c>
      <c r="C11" s="19">
        <v>1</v>
      </c>
      <c r="D11" s="10">
        <f t="shared" si="0"/>
        <v>100</v>
      </c>
      <c r="E11" s="76">
        <f>D11*0.0602</f>
        <v>6.02</v>
      </c>
      <c r="F11" s="13"/>
      <c r="G11" s="13"/>
      <c r="I11" s="13"/>
    </row>
    <row r="12" spans="1:9" ht="28.5" customHeight="1">
      <c r="A12" s="65">
        <v>924</v>
      </c>
      <c r="B12" s="66" t="s">
        <v>18</v>
      </c>
      <c r="C12" s="67">
        <v>1</v>
      </c>
      <c r="D12" s="68">
        <f t="shared" si="0"/>
        <v>100</v>
      </c>
      <c r="E12" s="77">
        <f t="shared" ref="E12" si="2">D12*0.0641</f>
        <v>6.41</v>
      </c>
      <c r="F12" s="13"/>
      <c r="G12" s="13"/>
      <c r="I12" s="13"/>
    </row>
  </sheetData>
  <mergeCells count="7">
    <mergeCell ref="C5:E5"/>
    <mergeCell ref="C9:E9"/>
    <mergeCell ref="A1:E1"/>
    <mergeCell ref="A3:A4"/>
    <mergeCell ref="B3:B4"/>
    <mergeCell ref="C3:D3"/>
    <mergeCell ref="E3:E4"/>
  </mergeCells>
  <pageMargins left="0.70866141732283472" right="0.27559055118110237" top="0.51181102362204722" bottom="0.27559055118110237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Normal="100" workbookViewId="0">
      <selection activeCell="A5" sqref="A5:G12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85546875" style="7" customWidth="1"/>
    <col min="6" max="6" width="10.28515625" style="7" customWidth="1"/>
    <col min="7" max="7" width="11.7109375" style="7" bestFit="1" customWidth="1"/>
    <col min="8" max="16384" width="8.85546875" style="7"/>
  </cols>
  <sheetData>
    <row r="1" spans="1:11" ht="36" customHeight="1">
      <c r="A1" s="132" t="s">
        <v>57</v>
      </c>
      <c r="B1" s="132"/>
      <c r="C1" s="132"/>
      <c r="D1" s="132"/>
      <c r="E1" s="132"/>
      <c r="F1" s="132"/>
      <c r="G1" s="132"/>
    </row>
    <row r="3" spans="1:11" ht="85.5" customHeight="1">
      <c r="A3" s="137" t="s">
        <v>0</v>
      </c>
      <c r="B3" s="124" t="s">
        <v>1</v>
      </c>
      <c r="C3" s="114" t="s">
        <v>58</v>
      </c>
      <c r="D3" s="115"/>
      <c r="E3" s="114" t="s">
        <v>59</v>
      </c>
      <c r="F3" s="115"/>
      <c r="G3" s="135" t="s">
        <v>21</v>
      </c>
    </row>
    <row r="4" spans="1:11" ht="37.5" customHeight="1">
      <c r="A4" s="138"/>
      <c r="B4" s="124"/>
      <c r="C4" s="24" t="s">
        <v>20</v>
      </c>
      <c r="D4" s="25" t="s">
        <v>19</v>
      </c>
      <c r="E4" s="24" t="s">
        <v>20</v>
      </c>
      <c r="F4" s="25" t="s">
        <v>19</v>
      </c>
      <c r="G4" s="136"/>
    </row>
    <row r="5" spans="1:11" ht="33.75" customHeight="1">
      <c r="A5" s="22" t="s">
        <v>6</v>
      </c>
      <c r="B5" s="23" t="s">
        <v>11</v>
      </c>
      <c r="C5" s="133"/>
      <c r="D5" s="126"/>
      <c r="E5" s="126"/>
      <c r="F5" s="126"/>
      <c r="G5" s="127"/>
    </row>
    <row r="6" spans="1:11" ht="33" customHeight="1">
      <c r="A6" s="80">
        <v>914</v>
      </c>
      <c r="B6" s="81" t="s">
        <v>13</v>
      </c>
      <c r="C6" s="82">
        <v>0.25</v>
      </c>
      <c r="D6" s="83">
        <f>C6*50</f>
        <v>12.5</v>
      </c>
      <c r="E6" s="82">
        <v>1</v>
      </c>
      <c r="F6" s="83">
        <f>E6*50</f>
        <v>50</v>
      </c>
      <c r="G6" s="84">
        <f>(D6+F6)*0.05</f>
        <v>3.125</v>
      </c>
      <c r="H6" s="13"/>
      <c r="I6" s="13"/>
      <c r="K6" s="13"/>
    </row>
    <row r="7" spans="1:11" ht="33" customHeight="1">
      <c r="A7" s="64">
        <v>918</v>
      </c>
      <c r="B7" s="28" t="s">
        <v>15</v>
      </c>
      <c r="C7" s="19">
        <v>0.25</v>
      </c>
      <c r="D7" s="10">
        <f t="shared" ref="D7:D8" si="0">C7*50</f>
        <v>12.5</v>
      </c>
      <c r="E7" s="15">
        <v>1</v>
      </c>
      <c r="F7" s="10">
        <f t="shared" ref="F7:F8" si="1">E7*50</f>
        <v>50</v>
      </c>
      <c r="G7" s="76">
        <f t="shared" ref="G7:G8" si="2">(D7+F7)*0.05</f>
        <v>3.125</v>
      </c>
      <c r="H7" s="13"/>
      <c r="I7" s="13"/>
      <c r="K7" s="13"/>
    </row>
    <row r="8" spans="1:11" ht="33" customHeight="1">
      <c r="A8" s="64">
        <v>919</v>
      </c>
      <c r="B8" s="28" t="s">
        <v>16</v>
      </c>
      <c r="C8" s="35">
        <v>0</v>
      </c>
      <c r="D8" s="10">
        <f t="shared" si="0"/>
        <v>0</v>
      </c>
      <c r="E8" s="26">
        <v>1</v>
      </c>
      <c r="F8" s="10">
        <f t="shared" si="1"/>
        <v>50</v>
      </c>
      <c r="G8" s="76">
        <f t="shared" si="2"/>
        <v>2.5</v>
      </c>
      <c r="H8" s="13"/>
      <c r="I8" s="13"/>
      <c r="K8" s="13"/>
    </row>
    <row r="9" spans="1:11" ht="30.75" customHeight="1">
      <c r="A9" s="22" t="s">
        <v>6</v>
      </c>
      <c r="B9" s="23" t="s">
        <v>12</v>
      </c>
      <c r="C9" s="134"/>
      <c r="D9" s="128"/>
      <c r="E9" s="128"/>
      <c r="F9" s="128"/>
      <c r="G9" s="129"/>
      <c r="H9" s="13"/>
      <c r="I9" s="13"/>
      <c r="K9" s="13"/>
    </row>
    <row r="10" spans="1:11" ht="26.25" customHeight="1">
      <c r="A10" s="64">
        <v>913</v>
      </c>
      <c r="B10" s="28" t="s">
        <v>17</v>
      </c>
      <c r="C10" s="19" t="s">
        <v>2</v>
      </c>
      <c r="D10" s="8" t="s">
        <v>2</v>
      </c>
      <c r="E10" s="19" t="s">
        <v>2</v>
      </c>
      <c r="F10" s="8" t="s">
        <v>2</v>
      </c>
      <c r="G10" s="78" t="s">
        <v>2</v>
      </c>
      <c r="H10" s="13"/>
      <c r="I10" s="13"/>
      <c r="K10" s="13"/>
    </row>
    <row r="11" spans="1:11" ht="33" customHeight="1">
      <c r="A11" s="64">
        <v>916</v>
      </c>
      <c r="B11" s="28" t="s">
        <v>14</v>
      </c>
      <c r="C11" s="19">
        <v>0.75</v>
      </c>
      <c r="D11" s="8">
        <f>C11*50</f>
        <v>37.5</v>
      </c>
      <c r="E11" s="15">
        <v>1</v>
      </c>
      <c r="F11" s="8">
        <f>E11*50</f>
        <v>50</v>
      </c>
      <c r="G11" s="76">
        <f>(D11+F11)*0.0602</f>
        <v>5.2675000000000001</v>
      </c>
      <c r="H11" s="13"/>
      <c r="I11" s="13"/>
      <c r="K11" s="13"/>
    </row>
    <row r="12" spans="1:11" ht="28.5" customHeight="1">
      <c r="A12" s="65">
        <v>924</v>
      </c>
      <c r="B12" s="66" t="s">
        <v>18</v>
      </c>
      <c r="C12" s="67" t="s">
        <v>2</v>
      </c>
      <c r="D12" s="68" t="s">
        <v>2</v>
      </c>
      <c r="E12" s="69" t="s">
        <v>2</v>
      </c>
      <c r="F12" s="68" t="s">
        <v>2</v>
      </c>
      <c r="G12" s="79" t="s">
        <v>2</v>
      </c>
      <c r="H12" s="13"/>
      <c r="I12" s="13"/>
      <c r="K12" s="13"/>
    </row>
  </sheetData>
  <mergeCells count="8">
    <mergeCell ref="C5:G5"/>
    <mergeCell ref="C9:G9"/>
    <mergeCell ref="A1:G1"/>
    <mergeCell ref="A3:A4"/>
    <mergeCell ref="B3:B4"/>
    <mergeCell ref="C3:D3"/>
    <mergeCell ref="E3:F3"/>
    <mergeCell ref="G3:G4"/>
  </mergeCells>
  <pageMargins left="0.70866141732283472" right="0.27559055118110237" top="0.51181102362204722" bottom="0.27559055118110237" header="0.31496062992125984" footer="0.31496062992125984"/>
  <pageSetup paperSize="9" scale="8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Normal="100" workbookViewId="0">
      <selection activeCell="A5" sqref="A5:M12"/>
    </sheetView>
  </sheetViews>
  <sheetFormatPr defaultColWidth="8.85546875" defaultRowHeight="15"/>
  <cols>
    <col min="1" max="1" width="8.140625" style="7" customWidth="1"/>
    <col min="2" max="2" width="45" style="7" customWidth="1"/>
    <col min="3" max="3" width="10.85546875" style="7" customWidth="1"/>
    <col min="4" max="4" width="9.7109375" style="7" customWidth="1"/>
    <col min="5" max="5" width="10.5703125" style="7" customWidth="1"/>
    <col min="6" max="6" width="9.7109375" style="7" customWidth="1"/>
    <col min="7" max="7" width="10.5703125" style="7" customWidth="1"/>
    <col min="8" max="8" width="9.7109375" style="7" customWidth="1"/>
    <col min="9" max="9" width="10.5703125" style="7" customWidth="1"/>
    <col min="10" max="10" width="9.7109375" style="7" customWidth="1"/>
    <col min="11" max="11" width="10.5703125" style="7" customWidth="1"/>
    <col min="12" max="12" width="9.7109375" style="7" customWidth="1"/>
    <col min="13" max="13" width="10.85546875" style="7" customWidth="1"/>
    <col min="14" max="16384" width="8.85546875" style="7"/>
  </cols>
  <sheetData>
    <row r="1" spans="1:15" ht="27.75" customHeight="1">
      <c r="A1" s="125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3" spans="1:15" ht="132.75" customHeight="1">
      <c r="A3" s="123" t="s">
        <v>0</v>
      </c>
      <c r="B3" s="124" t="s">
        <v>1</v>
      </c>
      <c r="C3" s="114" t="s">
        <v>61</v>
      </c>
      <c r="D3" s="131"/>
      <c r="E3" s="114" t="s">
        <v>62</v>
      </c>
      <c r="F3" s="131"/>
      <c r="G3" s="114" t="s">
        <v>63</v>
      </c>
      <c r="H3" s="131"/>
      <c r="I3" s="114" t="s">
        <v>64</v>
      </c>
      <c r="J3" s="131"/>
      <c r="K3" s="114" t="s">
        <v>65</v>
      </c>
      <c r="L3" s="131"/>
      <c r="M3" s="130" t="s">
        <v>21</v>
      </c>
    </row>
    <row r="4" spans="1:15" ht="39.75" customHeight="1">
      <c r="A4" s="123"/>
      <c r="B4" s="124"/>
      <c r="C4" s="24" t="s">
        <v>20</v>
      </c>
      <c r="D4" s="25" t="s">
        <v>19</v>
      </c>
      <c r="E4" s="24" t="s">
        <v>20</v>
      </c>
      <c r="F4" s="25" t="s">
        <v>19</v>
      </c>
      <c r="G4" s="24" t="s">
        <v>20</v>
      </c>
      <c r="H4" s="25" t="s">
        <v>19</v>
      </c>
      <c r="I4" s="24" t="s">
        <v>20</v>
      </c>
      <c r="J4" s="25" t="s">
        <v>19</v>
      </c>
      <c r="K4" s="24" t="s">
        <v>20</v>
      </c>
      <c r="L4" s="25" t="s">
        <v>19</v>
      </c>
      <c r="M4" s="130"/>
    </row>
    <row r="5" spans="1:15" ht="28.5" customHeight="1">
      <c r="A5" s="22" t="s">
        <v>6</v>
      </c>
      <c r="B5" s="23" t="s">
        <v>11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5" ht="30.75" customHeight="1">
      <c r="A6" s="63">
        <v>914</v>
      </c>
      <c r="B6" s="28" t="s">
        <v>13</v>
      </c>
      <c r="C6" s="19">
        <v>0.5</v>
      </c>
      <c r="D6" s="9">
        <f>C6*20</f>
        <v>10</v>
      </c>
      <c r="E6" s="19">
        <v>0.5</v>
      </c>
      <c r="F6" s="9">
        <f>E6*20</f>
        <v>10</v>
      </c>
      <c r="G6" s="19">
        <v>0</v>
      </c>
      <c r="H6" s="9">
        <f>G6*20</f>
        <v>0</v>
      </c>
      <c r="I6" s="19">
        <v>0</v>
      </c>
      <c r="J6" s="9">
        <f>I6*20</f>
        <v>0</v>
      </c>
      <c r="K6" s="19">
        <v>0</v>
      </c>
      <c r="L6" s="9">
        <f>K6*20</f>
        <v>0</v>
      </c>
      <c r="M6" s="76">
        <f>(D6+F6+H6+J6+L6)*0.09</f>
        <v>1.7999999999999998</v>
      </c>
      <c r="N6"/>
      <c r="O6" s="13"/>
    </row>
    <row r="7" spans="1:15" ht="30.75" customHeight="1">
      <c r="A7" s="64">
        <v>918</v>
      </c>
      <c r="B7" s="28" t="s">
        <v>15</v>
      </c>
      <c r="C7" s="15">
        <v>0.5</v>
      </c>
      <c r="D7" s="9">
        <f t="shared" ref="D7:D8" si="0">C7*20</f>
        <v>10</v>
      </c>
      <c r="E7" s="19">
        <v>0.5</v>
      </c>
      <c r="F7" s="9">
        <f>E7*20</f>
        <v>10</v>
      </c>
      <c r="G7" s="15">
        <v>1</v>
      </c>
      <c r="H7" s="9">
        <f>G7*20</f>
        <v>20</v>
      </c>
      <c r="I7" s="15">
        <v>0</v>
      </c>
      <c r="J7" s="4">
        <f>I7*(20+(20/80*20))</f>
        <v>0</v>
      </c>
      <c r="K7" s="15">
        <v>1</v>
      </c>
      <c r="L7" s="9">
        <f>K7*20</f>
        <v>20</v>
      </c>
      <c r="M7" s="76">
        <f t="shared" ref="M7:M8" si="1">(D7+F7+H7+J7+L7)*0.09</f>
        <v>5.3999999999999995</v>
      </c>
      <c r="N7"/>
      <c r="O7" s="13"/>
    </row>
    <row r="8" spans="1:15" ht="30.75" customHeight="1">
      <c r="A8" s="64">
        <v>919</v>
      </c>
      <c r="B8" s="28" t="s">
        <v>16</v>
      </c>
      <c r="C8" s="26">
        <v>0.5</v>
      </c>
      <c r="D8" s="9">
        <f t="shared" si="0"/>
        <v>10</v>
      </c>
      <c r="E8" s="19">
        <v>0.5</v>
      </c>
      <c r="F8" s="9">
        <f>E8*20</f>
        <v>10</v>
      </c>
      <c r="G8" s="26">
        <v>0</v>
      </c>
      <c r="H8" s="4">
        <f>G8*(20+(20/80*20))</f>
        <v>0</v>
      </c>
      <c r="I8" s="26">
        <v>0</v>
      </c>
      <c r="J8" s="4">
        <f>I8*(20+(20/80*20))</f>
        <v>0</v>
      </c>
      <c r="K8" s="26">
        <v>0</v>
      </c>
      <c r="L8" s="4">
        <f>K8*(20+(20/80*20))</f>
        <v>0</v>
      </c>
      <c r="M8" s="76">
        <f t="shared" si="1"/>
        <v>1.7999999999999998</v>
      </c>
      <c r="N8"/>
      <c r="O8" s="13"/>
    </row>
    <row r="9" spans="1:15" ht="30.75" customHeight="1">
      <c r="A9" s="22" t="s">
        <v>6</v>
      </c>
      <c r="B9" s="23" t="s">
        <v>12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/>
      <c r="O9" s="13"/>
    </row>
    <row r="10" spans="1:15" ht="30.75" customHeight="1">
      <c r="A10" s="64">
        <v>913</v>
      </c>
      <c r="B10" s="28" t="s">
        <v>17</v>
      </c>
      <c r="C10" s="19" t="s">
        <v>2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19" t="s">
        <v>2</v>
      </c>
      <c r="K10" s="19" t="s">
        <v>2</v>
      </c>
      <c r="L10" s="19" t="s">
        <v>2</v>
      </c>
      <c r="M10" s="99" t="s">
        <v>2</v>
      </c>
      <c r="N10"/>
      <c r="O10" s="13"/>
    </row>
    <row r="11" spans="1:15" ht="30.75" customHeight="1">
      <c r="A11" s="64">
        <v>916</v>
      </c>
      <c r="B11" s="28" t="s">
        <v>14</v>
      </c>
      <c r="C11" s="19" t="s">
        <v>2</v>
      </c>
      <c r="D11" s="19" t="s">
        <v>2</v>
      </c>
      <c r="E11" s="19" t="s">
        <v>2</v>
      </c>
      <c r="F11" s="19" t="s">
        <v>2</v>
      </c>
      <c r="G11" s="19" t="s">
        <v>2</v>
      </c>
      <c r="H11" s="19" t="s">
        <v>2</v>
      </c>
      <c r="I11" s="19" t="s">
        <v>2</v>
      </c>
      <c r="J11" s="19" t="s">
        <v>2</v>
      </c>
      <c r="K11" s="19" t="s">
        <v>2</v>
      </c>
      <c r="L11" s="19" t="s">
        <v>2</v>
      </c>
      <c r="M11" s="99" t="s">
        <v>2</v>
      </c>
      <c r="N11"/>
      <c r="O11" s="13"/>
    </row>
    <row r="12" spans="1:15" ht="30.75" customHeight="1">
      <c r="A12" s="65">
        <v>924</v>
      </c>
      <c r="B12" s="66" t="s">
        <v>18</v>
      </c>
      <c r="C12" s="67" t="s">
        <v>2</v>
      </c>
      <c r="D12" s="67" t="s">
        <v>2</v>
      </c>
      <c r="E12" s="67" t="s">
        <v>2</v>
      </c>
      <c r="F12" s="67" t="s">
        <v>2</v>
      </c>
      <c r="G12" s="67" t="s">
        <v>2</v>
      </c>
      <c r="H12" s="67" t="s">
        <v>2</v>
      </c>
      <c r="I12" s="67" t="s">
        <v>2</v>
      </c>
      <c r="J12" s="67" t="s">
        <v>2</v>
      </c>
      <c r="K12" s="67" t="s">
        <v>2</v>
      </c>
      <c r="L12" s="67" t="s">
        <v>2</v>
      </c>
      <c r="M12" s="100" t="s">
        <v>2</v>
      </c>
      <c r="N12"/>
      <c r="O12" s="13"/>
    </row>
    <row r="13" spans="1:15">
      <c r="M13" s="12"/>
      <c r="O13" s="13"/>
    </row>
  </sheetData>
  <mergeCells count="11">
    <mergeCell ref="C5:M5"/>
    <mergeCell ref="C9:M9"/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ageMargins left="0.70866141732283472" right="0.39370078740157483" top="0.39370078740157483" bottom="0.15748031496062992" header="0.15748031496062992" footer="0.15748031496062992"/>
  <pageSetup paperSize="9" scale="56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>
      <selection activeCell="A5" sqref="A5:K12"/>
    </sheetView>
  </sheetViews>
  <sheetFormatPr defaultColWidth="8.85546875" defaultRowHeight="15"/>
  <cols>
    <col min="1" max="1" width="9.7109375" style="7" customWidth="1"/>
    <col min="2" max="2" width="45.28515625" style="7" customWidth="1"/>
    <col min="3" max="3" width="10.7109375" style="7" customWidth="1"/>
    <col min="4" max="4" width="11.42578125" style="7" customWidth="1"/>
    <col min="5" max="5" width="11.5703125" style="7" customWidth="1"/>
    <col min="6" max="6" width="11" style="7" customWidth="1"/>
    <col min="7" max="7" width="12.42578125" style="7" customWidth="1"/>
    <col min="8" max="8" width="11.140625" style="7" customWidth="1"/>
    <col min="9" max="9" width="11.28515625" style="7" customWidth="1"/>
    <col min="10" max="10" width="11.140625" style="7" customWidth="1"/>
    <col min="11" max="11" width="10.42578125" style="7" customWidth="1"/>
    <col min="12" max="16384" width="8.85546875" style="7"/>
  </cols>
  <sheetData>
    <row r="1" spans="1:13" ht="30" customHeigh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3" spans="1:13" ht="98.25" customHeight="1">
      <c r="A3" s="123" t="s">
        <v>0</v>
      </c>
      <c r="B3" s="124" t="s">
        <v>1</v>
      </c>
      <c r="C3" s="142" t="s">
        <v>66</v>
      </c>
      <c r="D3" s="143"/>
      <c r="E3" s="142" t="s">
        <v>25</v>
      </c>
      <c r="F3" s="143"/>
      <c r="G3" s="142" t="s">
        <v>26</v>
      </c>
      <c r="H3" s="143"/>
      <c r="I3" s="142" t="s">
        <v>27</v>
      </c>
      <c r="J3" s="143"/>
      <c r="K3" s="135" t="s">
        <v>21</v>
      </c>
    </row>
    <row r="4" spans="1:13" ht="47.25" customHeight="1">
      <c r="A4" s="123"/>
      <c r="B4" s="124"/>
      <c r="C4" s="24" t="s">
        <v>20</v>
      </c>
      <c r="D4" s="25" t="s">
        <v>19</v>
      </c>
      <c r="E4" s="24" t="s">
        <v>20</v>
      </c>
      <c r="F4" s="25" t="s">
        <v>19</v>
      </c>
      <c r="G4" s="24" t="s">
        <v>20</v>
      </c>
      <c r="H4" s="25" t="s">
        <v>19</v>
      </c>
      <c r="I4" s="24" t="s">
        <v>20</v>
      </c>
      <c r="J4" s="25" t="s">
        <v>19</v>
      </c>
      <c r="K4" s="136"/>
    </row>
    <row r="5" spans="1:13" ht="30" customHeight="1">
      <c r="A5" s="22" t="s">
        <v>6</v>
      </c>
      <c r="B5" s="23" t="s">
        <v>11</v>
      </c>
      <c r="C5" s="133"/>
      <c r="D5" s="126"/>
      <c r="E5" s="126"/>
      <c r="F5" s="126"/>
      <c r="G5" s="126"/>
      <c r="H5" s="126"/>
      <c r="I5" s="126"/>
      <c r="J5" s="126"/>
      <c r="K5" s="127"/>
    </row>
    <row r="6" spans="1:13" ht="32.25" customHeight="1">
      <c r="A6" s="63">
        <v>914</v>
      </c>
      <c r="B6" s="28" t="s">
        <v>13</v>
      </c>
      <c r="C6" s="20">
        <v>0.56999999999999995</v>
      </c>
      <c r="D6" s="4">
        <f>C6*30</f>
        <v>17.099999999999998</v>
      </c>
      <c r="E6" s="20">
        <v>0</v>
      </c>
      <c r="F6" s="11">
        <f>E6*30</f>
        <v>0</v>
      </c>
      <c r="G6" s="20">
        <v>0.23400000000000001</v>
      </c>
      <c r="H6" s="11">
        <f>G6*20</f>
        <v>4.6800000000000006</v>
      </c>
      <c r="I6" s="17">
        <v>0</v>
      </c>
      <c r="J6" s="4">
        <f>I6*20</f>
        <v>0</v>
      </c>
      <c r="K6" s="76">
        <f>(D6+F6+H6+J6)*0.08</f>
        <v>1.7423999999999999</v>
      </c>
      <c r="L6" s="13"/>
      <c r="M6" s="13"/>
    </row>
    <row r="7" spans="1:13" ht="32.25" customHeight="1">
      <c r="A7" s="64">
        <v>918</v>
      </c>
      <c r="B7" s="29" t="s">
        <v>15</v>
      </c>
      <c r="C7" s="17">
        <v>1</v>
      </c>
      <c r="D7" s="4">
        <v>30</v>
      </c>
      <c r="E7" s="20">
        <v>1</v>
      </c>
      <c r="F7" s="11">
        <f t="shared" ref="F7:F8" si="0">E7*30</f>
        <v>30</v>
      </c>
      <c r="G7" s="11">
        <v>1</v>
      </c>
      <c r="H7" s="11">
        <f t="shared" ref="H7:H8" si="1">G7*20</f>
        <v>20</v>
      </c>
      <c r="I7" s="17">
        <v>1</v>
      </c>
      <c r="J7" s="4">
        <f t="shared" ref="J7:J8" si="2">I7*20</f>
        <v>20</v>
      </c>
      <c r="K7" s="76">
        <f t="shared" ref="K7:K8" si="3">(D7+F7+H7+J7)*0.08</f>
        <v>8</v>
      </c>
      <c r="L7" s="13"/>
      <c r="M7" s="13"/>
    </row>
    <row r="8" spans="1:13" ht="32.25" customHeight="1">
      <c r="A8" s="64">
        <v>919</v>
      </c>
      <c r="B8" s="29" t="s">
        <v>16</v>
      </c>
      <c r="C8" s="20">
        <v>1</v>
      </c>
      <c r="D8" s="31">
        <v>30</v>
      </c>
      <c r="E8" s="20">
        <v>1</v>
      </c>
      <c r="F8" s="11">
        <f t="shared" si="0"/>
        <v>30</v>
      </c>
      <c r="G8" s="32">
        <v>0</v>
      </c>
      <c r="H8" s="11">
        <f t="shared" si="1"/>
        <v>0</v>
      </c>
      <c r="I8" s="30">
        <v>0</v>
      </c>
      <c r="J8" s="4">
        <f t="shared" si="2"/>
        <v>0</v>
      </c>
      <c r="K8" s="76">
        <f t="shared" si="3"/>
        <v>4.8</v>
      </c>
      <c r="L8" s="13"/>
      <c r="M8" s="13"/>
    </row>
    <row r="9" spans="1:13" ht="28.5" customHeight="1">
      <c r="A9" s="22" t="s">
        <v>6</v>
      </c>
      <c r="B9" s="23" t="s">
        <v>12</v>
      </c>
      <c r="C9" s="139"/>
      <c r="D9" s="140"/>
      <c r="E9" s="140"/>
      <c r="F9" s="140"/>
      <c r="G9" s="140"/>
      <c r="H9" s="140"/>
      <c r="I9" s="140"/>
      <c r="J9" s="140"/>
      <c r="K9" s="141"/>
      <c r="L9" s="13"/>
      <c r="M9" s="13"/>
    </row>
    <row r="10" spans="1:13" ht="30.75" customHeight="1">
      <c r="A10" s="64">
        <v>913</v>
      </c>
      <c r="B10" s="28" t="s">
        <v>17</v>
      </c>
      <c r="C10" s="16">
        <v>1</v>
      </c>
      <c r="D10" s="3">
        <f t="shared" ref="D10:D12" si="4">C10*(30+(30/60*40))</f>
        <v>50</v>
      </c>
      <c r="E10" s="33">
        <v>1</v>
      </c>
      <c r="F10" s="3">
        <f>E10*(30+(30/60*40))</f>
        <v>50</v>
      </c>
      <c r="G10" s="20" t="s">
        <v>2</v>
      </c>
      <c r="H10" s="20" t="s">
        <v>2</v>
      </c>
      <c r="I10" s="20" t="s">
        <v>2</v>
      </c>
      <c r="J10" s="20" t="s">
        <v>2</v>
      </c>
      <c r="K10" s="76">
        <f>(D10+F10)*0.1026</f>
        <v>10.26</v>
      </c>
      <c r="L10" s="13"/>
      <c r="M10" s="13"/>
    </row>
    <row r="11" spans="1:13" ht="32.25" customHeight="1">
      <c r="A11" s="64">
        <v>916</v>
      </c>
      <c r="B11" s="29" t="s">
        <v>14</v>
      </c>
      <c r="C11" s="17">
        <v>1</v>
      </c>
      <c r="D11" s="3">
        <f t="shared" si="4"/>
        <v>50</v>
      </c>
      <c r="E11" s="20">
        <v>1</v>
      </c>
      <c r="F11" s="3">
        <f t="shared" ref="F11:F12" si="5">E11*(30+(30/60*40))</f>
        <v>50</v>
      </c>
      <c r="G11" s="11" t="s">
        <v>2</v>
      </c>
      <c r="H11" s="11" t="s">
        <v>2</v>
      </c>
      <c r="I11" s="11" t="s">
        <v>2</v>
      </c>
      <c r="J11" s="11" t="s">
        <v>2</v>
      </c>
      <c r="K11" s="76">
        <f>(D11+F11)*0.0964</f>
        <v>9.64</v>
      </c>
      <c r="L11" s="13"/>
      <c r="M11" s="13"/>
    </row>
    <row r="12" spans="1:13" ht="30.75" customHeight="1">
      <c r="A12" s="65">
        <v>924</v>
      </c>
      <c r="B12" s="66" t="s">
        <v>18</v>
      </c>
      <c r="C12" s="70">
        <v>1</v>
      </c>
      <c r="D12" s="71">
        <f t="shared" si="4"/>
        <v>50</v>
      </c>
      <c r="E12" s="70">
        <v>1</v>
      </c>
      <c r="F12" s="71">
        <f t="shared" si="5"/>
        <v>50</v>
      </c>
      <c r="G12" s="70" t="s">
        <v>2</v>
      </c>
      <c r="H12" s="70" t="s">
        <v>2</v>
      </c>
      <c r="I12" s="70" t="s">
        <v>2</v>
      </c>
      <c r="J12" s="70" t="s">
        <v>2</v>
      </c>
      <c r="K12" s="97">
        <f t="shared" ref="K12" si="6">(D12+F12)*0.1026</f>
        <v>10.26</v>
      </c>
      <c r="L12" s="13"/>
      <c r="M12" s="13"/>
    </row>
  </sheetData>
  <mergeCells count="10">
    <mergeCell ref="A1:K1"/>
    <mergeCell ref="K3:K4"/>
    <mergeCell ref="C5:K5"/>
    <mergeCell ref="C9:K9"/>
    <mergeCell ref="G3:H3"/>
    <mergeCell ref="A3:A4"/>
    <mergeCell ref="B3:B4"/>
    <mergeCell ref="C3:D3"/>
    <mergeCell ref="E3:F3"/>
    <mergeCell ref="I3:J3"/>
  </mergeCells>
  <pageMargins left="0.70866141732283472" right="0.31496062992125984" top="0.74803149606299213" bottom="0.74803149606299213" header="0.31496062992125984" footer="0.31496062992125984"/>
  <pageSetup paperSize="9" scale="85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>
      <selection activeCell="R8" sqref="R8"/>
    </sheetView>
  </sheetViews>
  <sheetFormatPr defaultColWidth="8.85546875" defaultRowHeight="15"/>
  <cols>
    <col min="1" max="1" width="9.7109375" style="7" customWidth="1"/>
    <col min="2" max="2" width="45.28515625" style="7" customWidth="1"/>
    <col min="3" max="3" width="10.7109375" style="7" customWidth="1"/>
    <col min="4" max="4" width="11.42578125" style="7" customWidth="1"/>
    <col min="5" max="5" width="11.5703125" style="7" customWidth="1"/>
    <col min="6" max="6" width="11" style="7" customWidth="1"/>
    <col min="7" max="7" width="12.42578125" style="7" customWidth="1"/>
    <col min="8" max="8" width="11.140625" style="7" customWidth="1"/>
    <col min="9" max="9" width="11.28515625" style="7" customWidth="1"/>
    <col min="10" max="10" width="11.140625" style="7" customWidth="1"/>
    <col min="11" max="11" width="10.42578125" style="7" customWidth="1"/>
    <col min="12" max="16384" width="8.85546875" style="7"/>
  </cols>
  <sheetData>
    <row r="1" spans="1:13" ht="30" customHeight="1">
      <c r="A1" s="132" t="s">
        <v>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3" spans="1:13" ht="188.25" customHeight="1">
      <c r="A3" s="123" t="s">
        <v>0</v>
      </c>
      <c r="B3" s="124" t="s">
        <v>1</v>
      </c>
      <c r="C3" s="144" t="s">
        <v>68</v>
      </c>
      <c r="D3" s="145"/>
      <c r="E3" s="144" t="s">
        <v>69</v>
      </c>
      <c r="F3" s="145"/>
      <c r="G3" s="144" t="s">
        <v>70</v>
      </c>
      <c r="H3" s="145"/>
      <c r="I3" s="142" t="s">
        <v>71</v>
      </c>
      <c r="J3" s="143"/>
      <c r="K3" s="135" t="s">
        <v>21</v>
      </c>
    </row>
    <row r="4" spans="1:13" ht="47.25" customHeight="1">
      <c r="A4" s="123"/>
      <c r="B4" s="124"/>
      <c r="C4" s="24" t="s">
        <v>20</v>
      </c>
      <c r="D4" s="25" t="s">
        <v>19</v>
      </c>
      <c r="E4" s="24" t="s">
        <v>20</v>
      </c>
      <c r="F4" s="25" t="s">
        <v>19</v>
      </c>
      <c r="G4" s="24" t="s">
        <v>20</v>
      </c>
      <c r="H4" s="25" t="s">
        <v>19</v>
      </c>
      <c r="I4" s="24" t="s">
        <v>20</v>
      </c>
      <c r="J4" s="25" t="s">
        <v>19</v>
      </c>
      <c r="K4" s="136"/>
    </row>
    <row r="5" spans="1:13" ht="30" customHeight="1">
      <c r="A5" s="22" t="s">
        <v>6</v>
      </c>
      <c r="B5" s="23" t="s">
        <v>11</v>
      </c>
      <c r="C5" s="133"/>
      <c r="D5" s="126"/>
      <c r="E5" s="126"/>
      <c r="F5" s="126"/>
      <c r="G5" s="126"/>
      <c r="H5" s="126"/>
      <c r="I5" s="126"/>
      <c r="J5" s="126"/>
      <c r="K5" s="127"/>
    </row>
    <row r="6" spans="1:13" ht="32.25" customHeight="1">
      <c r="A6" s="63">
        <v>914</v>
      </c>
      <c r="B6" s="28" t="s">
        <v>13</v>
      </c>
      <c r="C6" s="20">
        <v>1</v>
      </c>
      <c r="D6" s="4">
        <f>C6*25</f>
        <v>25</v>
      </c>
      <c r="E6" s="20">
        <v>0</v>
      </c>
      <c r="F6" s="11">
        <f>E6*25</f>
        <v>0</v>
      </c>
      <c r="G6" s="20">
        <v>0</v>
      </c>
      <c r="H6" s="11">
        <f>G6*25</f>
        <v>0</v>
      </c>
      <c r="I6" s="17">
        <v>0.5</v>
      </c>
      <c r="J6" s="4">
        <f>I6*25</f>
        <v>12.5</v>
      </c>
      <c r="K6" s="76">
        <f>(D6+F6+H6+J6)*0.08</f>
        <v>3</v>
      </c>
      <c r="L6" s="13"/>
      <c r="M6" s="13"/>
    </row>
    <row r="7" spans="1:13" ht="32.25" customHeight="1">
      <c r="A7" s="64">
        <v>918</v>
      </c>
      <c r="B7" s="29" t="s">
        <v>15</v>
      </c>
      <c r="C7" s="17">
        <v>0.5</v>
      </c>
      <c r="D7" s="4">
        <f t="shared" ref="D7:D8" si="0">C7*25</f>
        <v>12.5</v>
      </c>
      <c r="E7" s="20">
        <v>1</v>
      </c>
      <c r="F7" s="11">
        <f t="shared" ref="F7:F8" si="1">E7*25</f>
        <v>25</v>
      </c>
      <c r="G7" s="11">
        <v>0.7</v>
      </c>
      <c r="H7" s="11">
        <f t="shared" ref="H7:H8" si="2">G7*25</f>
        <v>17.5</v>
      </c>
      <c r="I7" s="17">
        <v>1</v>
      </c>
      <c r="J7" s="4">
        <f t="shared" ref="J7:J8" si="3">I7*25</f>
        <v>25</v>
      </c>
      <c r="K7" s="76">
        <f t="shared" ref="K7:K8" si="4">(D7+F7+H7+J7)*0.08</f>
        <v>6.4</v>
      </c>
      <c r="L7" s="13"/>
      <c r="M7" s="13"/>
    </row>
    <row r="8" spans="1:13" ht="32.25" customHeight="1">
      <c r="A8" s="64">
        <v>919</v>
      </c>
      <c r="B8" s="29" t="s">
        <v>16</v>
      </c>
      <c r="C8" s="20">
        <v>0.5</v>
      </c>
      <c r="D8" s="4">
        <f t="shared" si="0"/>
        <v>12.5</v>
      </c>
      <c r="E8" s="20">
        <v>1</v>
      </c>
      <c r="F8" s="11">
        <f t="shared" si="1"/>
        <v>25</v>
      </c>
      <c r="G8" s="32">
        <v>0.5</v>
      </c>
      <c r="H8" s="11">
        <f t="shared" si="2"/>
        <v>12.5</v>
      </c>
      <c r="I8" s="30">
        <v>1</v>
      </c>
      <c r="J8" s="4">
        <f t="shared" si="3"/>
        <v>25</v>
      </c>
      <c r="K8" s="76">
        <f t="shared" si="4"/>
        <v>6</v>
      </c>
      <c r="L8" s="13"/>
      <c r="M8" s="13"/>
    </row>
    <row r="9" spans="1:13" ht="28.5" customHeight="1">
      <c r="A9" s="22" t="s">
        <v>6</v>
      </c>
      <c r="B9" s="23" t="s">
        <v>12</v>
      </c>
      <c r="C9" s="139"/>
      <c r="D9" s="140"/>
      <c r="E9" s="140"/>
      <c r="F9" s="140"/>
      <c r="G9" s="140"/>
      <c r="H9" s="140"/>
      <c r="I9" s="140"/>
      <c r="J9" s="140"/>
      <c r="K9" s="141"/>
      <c r="L9" s="13"/>
      <c r="M9" s="13"/>
    </row>
    <row r="10" spans="1:13" ht="30.75" customHeight="1">
      <c r="A10" s="64">
        <v>913</v>
      </c>
      <c r="B10" s="28" t="s">
        <v>17</v>
      </c>
      <c r="C10" s="33" t="s">
        <v>2</v>
      </c>
      <c r="D10" s="33" t="s">
        <v>2</v>
      </c>
      <c r="E10" s="33" t="s">
        <v>2</v>
      </c>
      <c r="F10" s="33" t="s">
        <v>2</v>
      </c>
      <c r="G10" s="33" t="s">
        <v>2</v>
      </c>
      <c r="H10" s="33" t="s">
        <v>2</v>
      </c>
      <c r="I10" s="33" t="s">
        <v>2</v>
      </c>
      <c r="J10" s="33" t="s">
        <v>2</v>
      </c>
      <c r="K10" s="101" t="s">
        <v>2</v>
      </c>
      <c r="L10" s="13"/>
      <c r="M10" s="13"/>
    </row>
    <row r="11" spans="1:13" ht="32.25" customHeight="1">
      <c r="A11" s="64">
        <v>916</v>
      </c>
      <c r="B11" s="29" t="s">
        <v>14</v>
      </c>
      <c r="C11" s="20" t="s">
        <v>2</v>
      </c>
      <c r="D11" s="20" t="s">
        <v>2</v>
      </c>
      <c r="E11" s="20" t="s">
        <v>2</v>
      </c>
      <c r="F11" s="20" t="s">
        <v>2</v>
      </c>
      <c r="G11" s="20" t="s">
        <v>2</v>
      </c>
      <c r="H11" s="20" t="s">
        <v>2</v>
      </c>
      <c r="I11" s="20" t="s">
        <v>2</v>
      </c>
      <c r="J11" s="20" t="s">
        <v>2</v>
      </c>
      <c r="K11" s="102" t="s">
        <v>2</v>
      </c>
      <c r="L11" s="13"/>
      <c r="M11" s="13"/>
    </row>
    <row r="12" spans="1:13" ht="30.75" customHeight="1">
      <c r="A12" s="65">
        <v>924</v>
      </c>
      <c r="B12" s="66" t="s">
        <v>18</v>
      </c>
      <c r="C12" s="70" t="s">
        <v>2</v>
      </c>
      <c r="D12" s="70" t="s">
        <v>2</v>
      </c>
      <c r="E12" s="70" t="s">
        <v>2</v>
      </c>
      <c r="F12" s="70" t="s">
        <v>2</v>
      </c>
      <c r="G12" s="70" t="s">
        <v>2</v>
      </c>
      <c r="H12" s="70" t="s">
        <v>2</v>
      </c>
      <c r="I12" s="70" t="s">
        <v>2</v>
      </c>
      <c r="J12" s="70" t="s">
        <v>2</v>
      </c>
      <c r="K12" s="103" t="s">
        <v>2</v>
      </c>
      <c r="L12" s="13"/>
      <c r="M12" s="13"/>
    </row>
  </sheetData>
  <mergeCells count="10">
    <mergeCell ref="C5:K5"/>
    <mergeCell ref="C9:K9"/>
    <mergeCell ref="A1:K1"/>
    <mergeCell ref="A3:A4"/>
    <mergeCell ref="B3:B4"/>
    <mergeCell ref="C3:D3"/>
    <mergeCell ref="E3:F3"/>
    <mergeCell ref="G3:H3"/>
    <mergeCell ref="I3:J3"/>
    <mergeCell ref="K3:K4"/>
  </mergeCells>
  <pageMargins left="0.70866141732283472" right="0.31496062992125984" top="0.74803149606299213" bottom="0.74803149606299213" header="0.31496062992125984" footer="0.31496062992125984"/>
  <pageSetup paperSize="9" scale="8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Показатель 1</vt:lpstr>
      <vt:lpstr>Показатель 2</vt:lpstr>
      <vt:lpstr>Показатель 3</vt:lpstr>
      <vt:lpstr>Показатель 4</vt:lpstr>
      <vt:lpstr>Показатель 5</vt:lpstr>
      <vt:lpstr>Показатель 6</vt:lpstr>
      <vt:lpstr>Показатель 7</vt:lpstr>
      <vt:lpstr>Показатель 8</vt:lpstr>
      <vt:lpstr>Показатель 9</vt:lpstr>
      <vt:lpstr>Рейтинг ГАБС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2022-04-14T07:34:35Z</dcterms:modified>
</cp:coreProperties>
</file>