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2" sheetId="1" r:id="rId1"/>
    <sheet name="Оценка" sheetId="2" r:id="rId2"/>
    <sheet name="СФС" sheetId="3" r:id="rId3"/>
    <sheet name="Лист1" sheetId="4" state="hidden" r:id="rId4"/>
  </sheets>
  <externalReferences>
    <externalReference r:id="rId7"/>
  </externalReferences>
  <definedNames>
    <definedName name="_xlnm.Print_Area" localSheetId="2">'СФС'!$A$1:$F$26</definedName>
  </definedNames>
  <calcPr fullCalcOnLoad="1"/>
</workbook>
</file>

<file path=xl/sharedStrings.xml><?xml version="1.0" encoding="utf-8"?>
<sst xmlns="http://schemas.openxmlformats.org/spreadsheetml/2006/main" count="406" uniqueCount="186">
  <si>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</si>
  <si>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</si>
  <si>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</si>
  <si>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</si>
  <si>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</si>
  <si>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</si>
  <si>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</si>
  <si>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</si>
  <si>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</si>
  <si>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</si>
  <si>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</si>
  <si>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</si>
  <si>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</si>
  <si>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</si>
  <si>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</si>
  <si>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</si>
  <si>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</si>
  <si>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</si>
  <si>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</si>
  <si>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</si>
  <si>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</si>
  <si>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</si>
  <si>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</si>
  <si>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</si>
  <si>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</si>
  <si>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</si>
  <si>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</si>
  <si>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</si>
  <si>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</si>
  <si>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</si>
  <si>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</si>
  <si>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</si>
  <si>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</si>
  <si>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</si>
  <si>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</si>
  <si>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</si>
  <si>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</si>
  <si>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</si>
  <si>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</si>
  <si>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</si>
  <si>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</si>
  <si>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</si>
  <si>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</si>
  <si>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</si>
  <si>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</si>
  <si>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</si>
  <si>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</si>
  <si>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</si>
  <si>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</si>
  <si>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</si>
  <si>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</si>
  <si>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</si>
  <si>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</si>
  <si>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</si>
  <si>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</si>
  <si>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</si>
  <si>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</si>
  <si>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</si>
  <si>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</si>
  <si>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</si>
  <si>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</si>
  <si>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</si>
  <si>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</si>
  <si>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</si>
  <si>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</si>
  <si>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</si>
  <si>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</si>
  <si>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</si>
  <si>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</si>
  <si>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</si>
  <si>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</si>
  <si>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</si>
  <si>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</si>
  <si>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</si>
  <si>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</si>
  <si>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</si>
  <si>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</si>
  <si>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</si>
  <si>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</si>
  <si>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</si>
  <si>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</si>
  <si>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</si>
  <si>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</si>
  <si>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</si>
  <si>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</si>
  <si>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</si>
  <si>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</si>
  <si>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</si>
  <si>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</si>
  <si>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</si>
  <si>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</si>
  <si>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</si>
  <si>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</si>
  <si>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</si>
  <si>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</si>
  <si>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</si>
  <si>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</si>
  <si>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</si>
  <si>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</si>
  <si>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</si>
  <si>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</si>
  <si>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</si>
  <si>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</si>
  <si>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</si>
  <si>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</si>
  <si>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</si>
  <si>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</si>
  <si>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</si>
  <si>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</si>
  <si>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</si>
  <si>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</si>
  <si>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</si>
  <si>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</si>
  <si>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</si>
  <si>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</si>
  <si>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</si>
  <si>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</si>
  <si>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</si>
  <si>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</si>
  <si>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</si>
  <si>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</si>
  <si>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</si>
  <si>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</si>
  <si>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</si>
  <si>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</si>
  <si>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</si>
  <si>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Контроль и аудит</t>
  </si>
  <si>
    <t>5.1</t>
  </si>
  <si>
    <t>Итоговый показатель - "Осуществление мероприятий внутреннего контроля"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</si>
  <si>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</si>
  <si>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</si>
  <si>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</si>
  <si>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</si>
  <si>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</si>
  <si>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</si>
  <si>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</si>
  <si>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</si>
  <si>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</si>
  <si>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</si>
  <si>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</si>
  <si>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</si>
  <si>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</si>
  <si>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</si>
  <si>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</si>
  <si>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</si>
  <si>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</si>
  <si>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</si>
  <si>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</si>
  <si>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Расчет максимального значения</t>
  </si>
  <si>
    <t>Наименование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</si>
  <si>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</si>
  <si>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</si>
  <si>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</si>
  <si>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</si>
  <si>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Мероприятия государственной программы Российской Федерации "Доступная среда" на 2011-2020 годы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</si>
  <si>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</si>
  <si>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</si>
  <si>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 xml:space="preserve"> Субсидии на поддержку муниципальных программ формирования современной городской среды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</si>
  <si>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</si>
  <si>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</si>
  <si>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финансового контроля»), содержание которой функционально соответствует характеристикам внутреннего контроля, указанным в комментарии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</si>
  <si>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</t>
  </si>
  <si>
    <t>МАКСИМАЛЬНО ВОЗМОЖНОЕ КОЛИЧЕСТВО БАЛЛОВ по итогам 2018 года:</t>
  </si>
  <si>
    <t>Управление финансов администрации ЗАТО Александровск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</si>
  <si>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</si>
  <si>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</si>
  <si>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Субсидия на реализацию проектов по поддержке местных инициатив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</si>
  <si>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</si>
  <si>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</si>
  <si>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</si>
  <si>
    <t>Значения показателей ГАБС - Управление муниципальной собственностью администрации ЗАТО Александровск по состоянию на 31.12.2018</t>
  </si>
  <si>
    <t>Значения показателей ГАБС - Администрация ЗАТО Александровск по состоянию на 31.12.2018</t>
  </si>
  <si>
    <t>Значения показателей ГАБС - Управление образования администрации ЗАТО Александровск по состоянию на 31.12.2018</t>
  </si>
  <si>
    <t>Значения показателей ГАБС - Управление культуры, спорта и молодежной политики администрации ЗАТО Александровск по состоянию на 31.12.2018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</si>
  <si>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</si>
  <si>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</si>
  <si>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Значения показателей ГАБС - Управление финансов администарции ЗАТО Александровск по состоянию на 31.12.2018</t>
  </si>
  <si>
    <t>по итогам 2018 года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</si>
  <si>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</si>
  <si>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r>
      <t>Е(Р)=5, если Р≥</t>
    </r>
    <r>
      <rPr>
        <sz val="7.5"/>
        <rFont val="Arial"/>
        <family val="2"/>
      </rPr>
      <t>50%</t>
    </r>
    <r>
      <rPr>
        <sz val="10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2"/>
      </rPr>
      <t>0%</t>
    </r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</si>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</sst>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</numFmts>
  <fonts count="100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Arial"/>
      <family val="2"/>
    </font>
    <font>
      <b/>
      <sz val="14"/>
      <color indexed="18"/>
      <name val="Times New Roman"/>
      <family val="1"/>
    </font>
    <font>
      <b/>
      <i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3" tint="-0.24997000396251678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1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>
      <alignment vertical="top" wrapTex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8" borderId="8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2" fillId="0" borderId="0" xfId="0" applyNumberFormat="1" applyFont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49" fontId="75" fillId="33" borderId="11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194" fontId="75" fillId="33" borderId="12" xfId="0" applyNumberFormat="1" applyFont="1" applyFill="1" applyBorder="1" applyAlignment="1">
      <alignment horizontal="center" vertical="center" wrapText="1"/>
    </xf>
    <xf numFmtId="49" fontId="75" fillId="33" borderId="14" xfId="0" applyNumberFormat="1" applyFont="1" applyFill="1" applyBorder="1" applyAlignment="1">
      <alignment horizontal="center" vertical="center" wrapText="1"/>
    </xf>
    <xf numFmtId="192" fontId="75" fillId="33" borderId="12" xfId="0" applyNumberFormat="1" applyFont="1" applyFill="1" applyBorder="1" applyAlignment="1">
      <alignment horizontal="center" vertical="center" wrapText="1"/>
    </xf>
    <xf numFmtId="49" fontId="75" fillId="34" borderId="14" xfId="0" applyNumberFormat="1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4" fontId="75" fillId="34" borderId="12" xfId="0" applyNumberFormat="1" applyFont="1" applyFill="1" applyBorder="1" applyAlignment="1">
      <alignment horizontal="center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49" fontId="75" fillId="34" borderId="12" xfId="0" applyNumberFormat="1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 wrapText="1"/>
    </xf>
    <xf numFmtId="4" fontId="75" fillId="34" borderId="15" xfId="0" applyNumberFormat="1" applyFont="1" applyFill="1" applyBorder="1" applyAlignment="1">
      <alignment horizontal="center" vertical="center" wrapText="1"/>
    </xf>
    <xf numFmtId="4" fontId="75" fillId="34" borderId="16" xfId="0" applyNumberFormat="1" applyFont="1" applyFill="1" applyBorder="1" applyAlignment="1">
      <alignment horizontal="center" vertical="center" wrapText="1"/>
    </xf>
    <xf numFmtId="3" fontId="75" fillId="34" borderId="11" xfId="0" applyNumberFormat="1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49" fontId="76" fillId="34" borderId="11" xfId="0" applyNumberFormat="1" applyFont="1" applyFill="1" applyBorder="1" applyAlignment="1">
      <alignment horizontal="right" vertical="center" wrapText="1"/>
    </xf>
    <xf numFmtId="0" fontId="76" fillId="34" borderId="14" xfId="0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195" fontId="75" fillId="35" borderId="12" xfId="0" applyNumberFormat="1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92" fontId="77" fillId="0" borderId="0" xfId="0" applyNumberFormat="1" applyFont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Fill="1" applyBorder="1" applyAlignment="1">
      <alignment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4" fontId="81" fillId="34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0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85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75" fillId="36" borderId="11" xfId="0" applyNumberFormat="1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" fontId="75" fillId="36" borderId="11" xfId="0" applyNumberFormat="1" applyFont="1" applyFill="1" applyBorder="1" applyAlignment="1">
      <alignment horizontal="center" vertical="center" wrapText="1"/>
    </xf>
    <xf numFmtId="49" fontId="75" fillId="36" borderId="17" xfId="0" applyNumberFormat="1" applyFont="1" applyFill="1" applyBorder="1" applyAlignment="1">
      <alignment horizontal="center" vertical="center" wrapText="1"/>
    </xf>
    <xf numFmtId="0" fontId="76" fillId="36" borderId="12" xfId="0" applyFont="1" applyFill="1" applyBorder="1" applyAlignment="1">
      <alignment horizontal="center" vertical="center" wrapText="1"/>
    </xf>
    <xf numFmtId="192" fontId="75" fillId="34" borderId="11" xfId="0" applyNumberFormat="1" applyFont="1" applyFill="1" applyBorder="1" applyAlignment="1">
      <alignment horizontal="center" vertical="center" wrapText="1"/>
    </xf>
    <xf numFmtId="192" fontId="81" fillId="34" borderId="11" xfId="0" applyNumberFormat="1" applyFont="1" applyFill="1" applyBorder="1" applyAlignment="1">
      <alignment horizontal="center" vertical="center" wrapText="1"/>
    </xf>
    <xf numFmtId="197" fontId="75" fillId="35" borderId="12" xfId="0" applyNumberFormat="1" applyFont="1" applyFill="1" applyBorder="1" applyAlignment="1">
      <alignment horizontal="center" vertical="center" wrapText="1"/>
    </xf>
    <xf numFmtId="0" fontId="79" fillId="11" borderId="12" xfId="0" applyFont="1" applyFill="1" applyBorder="1" applyAlignment="1">
      <alignment vertical="center" wrapText="1"/>
    </xf>
    <xf numFmtId="4" fontId="79" fillId="11" borderId="12" xfId="0" applyNumberFormat="1" applyFont="1" applyFill="1" applyBorder="1" applyAlignment="1">
      <alignment horizontal="center" vertical="center" wrapText="1"/>
    </xf>
    <xf numFmtId="0" fontId="78" fillId="11" borderId="12" xfId="0" applyFont="1" applyFill="1" applyBorder="1" applyAlignment="1">
      <alignment vertical="center" wrapText="1"/>
    </xf>
    <xf numFmtId="4" fontId="78" fillId="11" borderId="12" xfId="0" applyNumberFormat="1" applyFont="1" applyFill="1" applyBorder="1" applyAlignment="1">
      <alignment horizontal="center" vertical="center" wrapText="1"/>
    </xf>
    <xf numFmtId="4" fontId="80" fillId="37" borderId="12" xfId="0" applyNumberFormat="1" applyFont="1" applyFill="1" applyBorder="1" applyAlignment="1">
      <alignment horizontal="center" vertical="center"/>
    </xf>
    <xf numFmtId="4" fontId="85" fillId="37" borderId="12" xfId="0" applyNumberFormat="1" applyFont="1" applyFill="1" applyBorder="1" applyAlignment="1">
      <alignment horizontal="center" vertical="center"/>
    </xf>
    <xf numFmtId="4" fontId="84" fillId="37" borderId="12" xfId="0" applyNumberFormat="1" applyFont="1" applyFill="1" applyBorder="1" applyAlignment="1">
      <alignment horizontal="center" vertical="center"/>
    </xf>
    <xf numFmtId="4" fontId="86" fillId="37" borderId="12" xfId="0" applyNumberFormat="1" applyFont="1" applyFill="1" applyBorder="1" applyAlignment="1">
      <alignment horizontal="center" vertical="center"/>
    </xf>
    <xf numFmtId="4" fontId="87" fillId="37" borderId="12" xfId="0" applyNumberFormat="1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center" vertical="center"/>
    </xf>
    <xf numFmtId="4" fontId="72" fillId="0" borderId="0" xfId="0" applyNumberFormat="1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right" vertical="center" wrapText="1"/>
    </xf>
    <xf numFmtId="0" fontId="72" fillId="34" borderId="12" xfId="0" applyFont="1" applyFill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72" fillId="36" borderId="11" xfId="0" applyFont="1" applyFill="1" applyBorder="1" applyAlignment="1">
      <alignment horizontal="left" vertical="center" wrapText="1"/>
    </xf>
    <xf numFmtId="0" fontId="72" fillId="34" borderId="13" xfId="0" applyFont="1" applyFill="1" applyBorder="1" applyAlignment="1">
      <alignment horizontal="right" vertical="center" wrapText="1"/>
    </xf>
    <xf numFmtId="0" fontId="88" fillId="0" borderId="0" xfId="0" applyFont="1" applyAlignment="1">
      <alignment horizontal="center" vertical="center" wrapText="1"/>
    </xf>
    <xf numFmtId="0" fontId="89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8" xfId="0" applyFont="1" applyFill="1" applyBorder="1" applyAlignment="1">
      <alignment horizontal="center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5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92" fillId="37" borderId="12" xfId="0" applyFont="1" applyFill="1" applyBorder="1" applyAlignment="1">
      <alignment horizontal="center" vertical="center" wrapText="1"/>
    </xf>
    <xf numFmtId="0" fontId="92" fillId="37" borderId="15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center" vertical="center" wrapText="1"/>
    </xf>
    <xf numFmtId="4" fontId="93" fillId="37" borderId="12" xfId="0" applyNumberFormat="1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4" fontId="81" fillId="37" borderId="12" xfId="0" applyNumberFormat="1" applyFont="1" applyFill="1" applyBorder="1" applyAlignment="1">
      <alignment horizontal="center" vertical="center" wrapText="1"/>
    </xf>
    <xf numFmtId="4" fontId="94" fillId="37" borderId="12" xfId="0" applyNumberFormat="1" applyFont="1" applyFill="1" applyBorder="1" applyAlignment="1">
      <alignment horizontal="center" vertical="center" wrapText="1"/>
    </xf>
    <xf numFmtId="0" fontId="93" fillId="37" borderId="13" xfId="0" applyFont="1" applyFill="1" applyBorder="1" applyAlignment="1">
      <alignment horizontal="center" vertical="center" wrapText="1"/>
    </xf>
    <xf numFmtId="4" fontId="90" fillId="37" borderId="15" xfId="0" applyNumberFormat="1" applyFont="1" applyFill="1" applyBorder="1" applyAlignment="1">
      <alignment horizontal="center" vertical="center" wrapText="1"/>
    </xf>
    <xf numFmtId="4" fontId="95" fillId="37" borderId="15" xfId="0" applyNumberFormat="1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194" fontId="90" fillId="33" borderId="12" xfId="0" applyNumberFormat="1" applyFont="1" applyFill="1" applyBorder="1" applyAlignment="1">
      <alignment horizontal="center" vertical="center" wrapText="1"/>
    </xf>
    <xf numFmtId="192" fontId="90" fillId="33" borderId="12" xfId="0" applyNumberFormat="1" applyFont="1" applyFill="1" applyBorder="1" applyAlignment="1">
      <alignment horizontal="center" vertical="center" wrapText="1"/>
    </xf>
    <xf numFmtId="4" fontId="90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83" fillId="37" borderId="12" xfId="0" applyNumberFormat="1" applyFont="1" applyFill="1" applyBorder="1" applyAlignment="1">
      <alignment horizontal="center" vertical="center"/>
    </xf>
    <xf numFmtId="0" fontId="90" fillId="37" borderId="12" xfId="0" applyFont="1" applyFill="1" applyBorder="1" applyAlignment="1">
      <alignment horizontal="center" vertical="center" wrapText="1"/>
    </xf>
    <xf numFmtId="4" fontId="90" fillId="37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93" fillId="37" borderId="11" xfId="0" applyNumberFormat="1" applyFont="1" applyFill="1" applyBorder="1" applyAlignment="1">
      <alignment horizontal="center" vertical="center" wrapText="1"/>
    </xf>
    <xf numFmtId="4" fontId="81" fillId="37" borderId="11" xfId="0" applyNumberFormat="1" applyFont="1" applyFill="1" applyBorder="1" applyAlignment="1">
      <alignment horizontal="center" vertical="center" wrapText="1"/>
    </xf>
    <xf numFmtId="0" fontId="96" fillId="37" borderId="12" xfId="0" applyFont="1" applyFill="1" applyBorder="1" applyAlignment="1">
      <alignment horizontal="center" vertical="center" wrapText="1"/>
    </xf>
    <xf numFmtId="0" fontId="97" fillId="37" borderId="15" xfId="0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4" fontId="98" fillId="37" borderId="12" xfId="0" applyNumberFormat="1" applyFont="1" applyFill="1" applyBorder="1" applyAlignment="1">
      <alignment horizontal="center" vertical="center" wrapText="1"/>
    </xf>
    <xf numFmtId="4" fontId="81" fillId="37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90" fillId="37" borderId="11" xfId="0" applyNumberFormat="1" applyFont="1" applyFill="1" applyBorder="1" applyAlignment="1">
      <alignment horizontal="center" vertical="center" wrapText="1"/>
    </xf>
    <xf numFmtId="4" fontId="90" fillId="37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92" fontId="90" fillId="37" borderId="11" xfId="0" applyNumberFormat="1" applyFont="1" applyFill="1" applyBorder="1" applyAlignment="1">
      <alignment horizontal="center" vertical="center" wrapText="1"/>
    </xf>
    <xf numFmtId="192" fontId="90" fillId="37" borderId="14" xfId="0" applyNumberFormat="1" applyFont="1" applyFill="1" applyBorder="1" applyAlignment="1">
      <alignment horizontal="center" vertical="center" wrapText="1"/>
    </xf>
    <xf numFmtId="4" fontId="90" fillId="34" borderId="11" xfId="0" applyNumberFormat="1" applyFont="1" applyFill="1" applyBorder="1" applyAlignment="1">
      <alignment horizontal="center" vertical="center" wrapText="1"/>
    </xf>
    <xf numFmtId="4" fontId="90" fillId="34" borderId="17" xfId="0" applyNumberFormat="1" applyFont="1" applyFill="1" applyBorder="1" applyAlignment="1">
      <alignment horizontal="center" vertical="center" wrapText="1"/>
    </xf>
    <xf numFmtId="4" fontId="90" fillId="34" borderId="14" xfId="0" applyNumberFormat="1" applyFont="1" applyFill="1" applyBorder="1" applyAlignment="1">
      <alignment horizontal="center" vertical="center" wrapText="1"/>
    </xf>
    <xf numFmtId="3" fontId="95" fillId="37" borderId="11" xfId="0" applyNumberFormat="1" applyFont="1" applyFill="1" applyBorder="1" applyAlignment="1">
      <alignment horizontal="center" vertical="center" wrapText="1"/>
    </xf>
    <xf numFmtId="3" fontId="95" fillId="37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95" fillId="37" borderId="11" xfId="0" applyFont="1" applyFill="1" applyBorder="1" applyAlignment="1">
      <alignment horizontal="center" vertical="center" wrapText="1"/>
    </xf>
    <xf numFmtId="0" fontId="95" fillId="37" borderId="17" xfId="0" applyFont="1" applyFill="1" applyBorder="1" applyAlignment="1">
      <alignment horizontal="center" vertical="center" wrapText="1"/>
    </xf>
    <xf numFmtId="0" fontId="95" fillId="37" borderId="14" xfId="0" applyFont="1" applyFill="1" applyBorder="1" applyAlignment="1">
      <alignment horizontal="center" vertical="center" wrapText="1"/>
    </xf>
    <xf numFmtId="0" fontId="93" fillId="37" borderId="15" xfId="0" applyFont="1" applyFill="1" applyBorder="1" applyAlignment="1">
      <alignment horizontal="right" vertical="center" wrapText="1"/>
    </xf>
    <xf numFmtId="0" fontId="93" fillId="37" borderId="13" xfId="0" applyFont="1" applyFill="1" applyBorder="1" applyAlignment="1">
      <alignment horizontal="right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7" xfId="0" applyFont="1" applyFill="1" applyBorder="1" applyAlignment="1">
      <alignment horizontal="center" vertical="center" wrapText="1"/>
    </xf>
    <xf numFmtId="0" fontId="90" fillId="37" borderId="14" xfId="0" applyFont="1" applyFill="1" applyBorder="1" applyAlignment="1">
      <alignment horizontal="center" vertical="center" wrapText="1"/>
    </xf>
    <xf numFmtId="49" fontId="90" fillId="37" borderId="18" xfId="0" applyNumberFormat="1" applyFont="1" applyFill="1" applyBorder="1" applyAlignment="1">
      <alignment horizontal="right" vertical="center" wrapText="1"/>
    </xf>
    <xf numFmtId="49" fontId="90" fillId="37" borderId="20" xfId="0" applyNumberFormat="1" applyFont="1" applyFill="1" applyBorder="1" applyAlignment="1">
      <alignment horizontal="right" vertical="center" wrapText="1"/>
    </xf>
    <xf numFmtId="49" fontId="90" fillId="37" borderId="15" xfId="0" applyNumberFormat="1" applyFont="1" applyFill="1" applyBorder="1" applyAlignment="1">
      <alignment horizontal="right" vertical="center" wrapText="1"/>
    </xf>
    <xf numFmtId="49" fontId="90" fillId="37" borderId="13" xfId="0" applyNumberFormat="1" applyFont="1" applyFill="1" applyBorder="1" applyAlignment="1">
      <alignment horizontal="right" vertical="center" wrapText="1"/>
    </xf>
    <xf numFmtId="0" fontId="76" fillId="34" borderId="12" xfId="0" applyFont="1" applyFill="1" applyBorder="1" applyAlignment="1">
      <alignment horizontal="right" vertical="center" wrapText="1"/>
    </xf>
    <xf numFmtId="49" fontId="90" fillId="37" borderId="21" xfId="0" applyNumberFormat="1" applyFont="1" applyFill="1" applyBorder="1" applyAlignment="1">
      <alignment horizontal="right" vertical="center" wrapText="1"/>
    </xf>
    <xf numFmtId="49" fontId="90" fillId="37" borderId="22" xfId="0" applyNumberFormat="1" applyFont="1" applyFill="1" applyBorder="1" applyAlignment="1">
      <alignment horizontal="right" vertical="center" wrapText="1"/>
    </xf>
    <xf numFmtId="49" fontId="93" fillId="37" borderId="15" xfId="0" applyNumberFormat="1" applyFont="1" applyFill="1" applyBorder="1" applyAlignment="1">
      <alignment horizontal="right" vertical="center" wrapText="1"/>
    </xf>
    <xf numFmtId="49" fontId="93" fillId="37" borderId="13" xfId="0" applyNumberFormat="1" applyFont="1" applyFill="1" applyBorder="1" applyAlignment="1">
      <alignment horizontal="right" vertical="center" wrapText="1"/>
    </xf>
    <xf numFmtId="0" fontId="90" fillId="37" borderId="13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right" vertical="center" wrapText="1"/>
    </xf>
    <xf numFmtId="49" fontId="90" fillId="37" borderId="16" xfId="0" applyNumberFormat="1" applyFont="1" applyFill="1" applyBorder="1" applyAlignment="1">
      <alignment horizontal="right" vertical="center" wrapText="1"/>
    </xf>
    <xf numFmtId="49" fontId="90" fillId="37" borderId="19" xfId="0" applyNumberFormat="1" applyFont="1" applyFill="1" applyBorder="1" applyAlignment="1">
      <alignment horizontal="right" vertical="center" wrapText="1"/>
    </xf>
    <xf numFmtId="3" fontId="81" fillId="37" borderId="11" xfId="0" applyNumberFormat="1" applyFont="1" applyFill="1" applyBorder="1" applyAlignment="1">
      <alignment horizontal="center" vertical="center" wrapText="1"/>
    </xf>
    <xf numFmtId="3" fontId="81" fillId="37" borderId="17" xfId="0" applyNumberFormat="1" applyFont="1" applyFill="1" applyBorder="1" applyAlignment="1">
      <alignment horizontal="center" vertical="center" wrapText="1"/>
    </xf>
    <xf numFmtId="3" fontId="81" fillId="37" borderId="14" xfId="0" applyNumberFormat="1" applyFont="1" applyFill="1" applyBorder="1" applyAlignment="1">
      <alignment horizontal="center" vertical="center" wrapText="1"/>
    </xf>
    <xf numFmtId="49" fontId="75" fillId="35" borderId="15" xfId="0" applyNumberFormat="1" applyFont="1" applyFill="1" applyBorder="1" applyAlignment="1">
      <alignment horizontal="right" vertical="center" wrapText="1"/>
    </xf>
    <xf numFmtId="49" fontId="75" fillId="35" borderId="13" xfId="0" applyNumberFormat="1" applyFont="1" applyFill="1" applyBorder="1" applyAlignment="1">
      <alignment horizontal="right" vertical="center" wrapText="1"/>
    </xf>
    <xf numFmtId="49" fontId="99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90" fillId="37" borderId="16" xfId="0" applyNumberFormat="1" applyFont="1" applyFill="1" applyBorder="1" applyAlignment="1">
      <alignment horizontal="right" vertical="justify" wrapText="1"/>
    </xf>
    <xf numFmtId="49" fontId="90" fillId="37" borderId="19" xfId="0" applyNumberFormat="1" applyFont="1" applyFill="1" applyBorder="1" applyAlignment="1">
      <alignment horizontal="right" vertical="justify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0" fontId="91" fillId="37" borderId="15" xfId="0" applyFont="1" applyFill="1" applyBorder="1" applyAlignment="1">
      <alignment horizontal="right" vertical="center" wrapText="1"/>
    </xf>
    <xf numFmtId="0" fontId="91" fillId="37" borderId="13" xfId="0" applyFont="1" applyFill="1" applyBorder="1" applyAlignment="1">
      <alignment horizontal="right" vertical="center" wrapText="1"/>
    </xf>
    <xf numFmtId="0" fontId="82" fillId="37" borderId="16" xfId="0" applyFont="1" applyFill="1" applyBorder="1" applyAlignment="1">
      <alignment horizontal="right" vertical="center" wrapText="1"/>
    </xf>
    <xf numFmtId="0" fontId="82" fillId="37" borderId="19" xfId="0" applyFont="1" applyFill="1" applyBorder="1" applyAlignment="1">
      <alignment horizontal="right"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82" fillId="37" borderId="15" xfId="0" applyFont="1" applyFill="1" applyBorder="1" applyAlignment="1">
      <alignment horizontal="right" vertical="center" wrapText="1"/>
    </xf>
    <xf numFmtId="0" fontId="82" fillId="37" borderId="13" xfId="0" applyFont="1" applyFill="1" applyBorder="1" applyAlignment="1">
      <alignment horizontal="right" vertical="center" wrapText="1"/>
    </xf>
    <xf numFmtId="49" fontId="93" fillId="37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right" vertical="top" wrapText="1"/>
    </xf>
    <xf numFmtId="49" fontId="76" fillId="34" borderId="15" xfId="0" applyNumberFormat="1" applyFont="1" applyFill="1" applyBorder="1" applyAlignment="1">
      <alignment horizontal="right" vertical="center" wrapText="1"/>
    </xf>
    <xf numFmtId="49" fontId="76" fillId="34" borderId="13" xfId="0" applyNumberFormat="1" applyFont="1" applyFill="1" applyBorder="1" applyAlignment="1">
      <alignment horizontal="right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4" fontId="75" fillId="34" borderId="17" xfId="0" applyNumberFormat="1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93" fillId="37" borderId="18" xfId="0" applyFont="1" applyFill="1" applyBorder="1" applyAlignment="1">
      <alignment horizontal="right" vertical="top" wrapText="1"/>
    </xf>
    <xf numFmtId="0" fontId="93" fillId="37" borderId="20" xfId="0" applyFont="1" applyFill="1" applyBorder="1" applyAlignment="1">
      <alignment horizontal="right" vertical="top" wrapText="1"/>
    </xf>
    <xf numFmtId="0" fontId="93" fillId="37" borderId="16" xfId="0" applyFont="1" applyFill="1" applyBorder="1" applyAlignment="1">
      <alignment horizontal="right" vertical="top" wrapText="1"/>
    </xf>
    <xf numFmtId="0" fontId="93" fillId="37" borderId="19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0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18 г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од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а (в процентах)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8425"/>
          <c:w val="0.9905"/>
          <c:h val="0.790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Лист1!$A$1:$E$1</c:f>
              <c:strCache>
                <c:ptCount val="5"/>
                <c:pt idx="0">
                  <c:v>                                    Управление 
муниципальной собственностью </c:v>
                </c:pt>
                <c:pt idx="1">
                  <c:v>                Управление культуры, 
спорта и молодежной политики </c:v>
                </c:pt>
                <c:pt idx="2">
                  <c:v>         Администрация 
ЗАТО Александровск </c:v>
                </c:pt>
                <c:pt idx="3">
                  <c:v>Управление финансов </c:v>
                </c:pt>
                <c:pt idx="4">
                  <c:v>Управление образования </c:v>
                </c:pt>
              </c:strCache>
            </c:strRef>
          </c:cat>
          <c:val>
            <c:numRef>
              <c:f>Лист1!$A$2:$E$2</c:f>
              <c:numCache>
                <c:ptCount val="5"/>
                <c:pt idx="0">
                  <c:v>84.21</c:v>
                </c:pt>
                <c:pt idx="1">
                  <c:v>86.18</c:v>
                </c:pt>
                <c:pt idx="2">
                  <c:v>86.32</c:v>
                </c:pt>
                <c:pt idx="3">
                  <c:v>92.11</c:v>
                </c:pt>
                <c:pt idx="4">
                  <c:v>95.39</c:v>
                </c:pt>
              </c:numCache>
            </c:numRef>
          </c:val>
        </c:ser>
        <c:overlap val="100"/>
        <c:gapWidth val="95"/>
        <c:axId val="4470108"/>
        <c:axId val="40230973"/>
      </c:barChart>
      <c:catAx>
        <c:axId val="44701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30973"/>
        <c:crosses val="autoZero"/>
        <c:auto val="1"/>
        <c:lblOffset val="100"/>
        <c:tickLblSkip val="1"/>
        <c:noMultiLvlLbl val="0"/>
      </c:catAx>
      <c:valAx>
        <c:axId val="40230973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extTo"/>
        <c:crossAx val="4470108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9CDE5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4297025" y="30384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E~1.ZAT\AppData\Local\Temp\notes183C16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85" zoomScaleNormal="85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9.140625" style="32" customWidth="1"/>
    <col min="2" max="2" width="50.57421875" style="78" customWidth="1"/>
    <col min="3" max="3" width="15.28125" style="33" customWidth="1"/>
    <col min="4" max="4" width="22.57421875" style="33" customWidth="1"/>
    <col min="5" max="5" width="22.8515625" style="33" customWidth="1"/>
    <col min="6" max="6" width="24.28125" style="33" customWidth="1"/>
    <col min="7" max="7" width="22.421875" style="33" customWidth="1"/>
    <col min="8" max="8" width="25.421875" style="33" customWidth="1"/>
    <col min="9" max="9" width="20.421875" style="33" customWidth="1"/>
    <col min="10" max="10" width="34.28125" style="125" customWidth="1"/>
    <col min="11" max="11" width="56.7109375" style="1" customWidth="1"/>
    <col min="12" max="16384" width="9.140625" style="1" customWidth="1"/>
  </cols>
  <sheetData>
    <row r="1" spans="1:10" ht="29.25" customHeight="1">
      <c r="A1" s="183" t="s">
        <v>103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customHeight="1">
      <c r="A2" s="183" t="s">
        <v>177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7.25" customHeight="1">
      <c r="A3" s="5"/>
      <c r="B3" s="5"/>
      <c r="C3" s="5"/>
      <c r="D3" s="5"/>
      <c r="E3" s="5"/>
      <c r="F3" s="5"/>
      <c r="G3" s="71"/>
      <c r="H3" s="71"/>
      <c r="I3" s="5"/>
      <c r="J3" s="109"/>
    </row>
    <row r="4" spans="1:10" ht="78" customHeight="1">
      <c r="A4" s="6" t="s">
        <v>17</v>
      </c>
      <c r="B4" s="72" t="s">
        <v>12</v>
      </c>
      <c r="C4" s="7" t="s">
        <v>15</v>
      </c>
      <c r="D4" s="98" t="s">
        <v>163</v>
      </c>
      <c r="E4" s="98" t="s">
        <v>104</v>
      </c>
      <c r="F4" s="98" t="s">
        <v>105</v>
      </c>
      <c r="G4" s="98" t="s">
        <v>182</v>
      </c>
      <c r="H4" s="98" t="s">
        <v>106</v>
      </c>
      <c r="I4" s="8" t="s">
        <v>148</v>
      </c>
      <c r="J4" s="110" t="s">
        <v>28</v>
      </c>
    </row>
    <row r="5" spans="1:10" ht="36" customHeight="1">
      <c r="A5" s="9" t="s">
        <v>19</v>
      </c>
      <c r="B5" s="73" t="s">
        <v>0</v>
      </c>
      <c r="C5" s="10" t="s">
        <v>23</v>
      </c>
      <c r="D5" s="99">
        <f aca="true" t="shared" si="0" ref="D5:I5">ROUND(D16*0.2+D24*0.3+D28*0.15+D32*0.35,4)</f>
        <v>2.175</v>
      </c>
      <c r="E5" s="99">
        <f t="shared" si="0"/>
        <v>1.9</v>
      </c>
      <c r="F5" s="99">
        <f t="shared" si="0"/>
        <v>2.155</v>
      </c>
      <c r="G5" s="99">
        <f t="shared" si="0"/>
        <v>2.098</v>
      </c>
      <c r="H5" s="99">
        <f t="shared" si="0"/>
        <v>2.098</v>
      </c>
      <c r="I5" s="11">
        <f t="shared" si="0"/>
        <v>2.4</v>
      </c>
      <c r="J5" s="111" t="s">
        <v>29</v>
      </c>
    </row>
    <row r="6" spans="1:10" ht="36" customHeight="1">
      <c r="A6" s="12"/>
      <c r="B6" s="73" t="s">
        <v>44</v>
      </c>
      <c r="C6" s="10" t="s">
        <v>7</v>
      </c>
      <c r="D6" s="100">
        <v>25</v>
      </c>
      <c r="E6" s="100">
        <v>25</v>
      </c>
      <c r="F6" s="100">
        <v>25</v>
      </c>
      <c r="G6" s="100">
        <v>25</v>
      </c>
      <c r="H6" s="100">
        <v>25</v>
      </c>
      <c r="I6" s="13">
        <v>25</v>
      </c>
      <c r="J6" s="111" t="s">
        <v>29</v>
      </c>
    </row>
    <row r="7" spans="1:10" ht="113.25" customHeight="1">
      <c r="A7" s="14" t="s">
        <v>13</v>
      </c>
      <c r="B7" s="74" t="s">
        <v>18</v>
      </c>
      <c r="C7" s="15" t="s">
        <v>7</v>
      </c>
      <c r="D7" s="101">
        <f>ROUND((D9-D11-D13-D14)/(D8-D10-D12)*100-100,2)</f>
        <v>-3.42</v>
      </c>
      <c r="E7" s="101">
        <f>ROUND((E9-E11-E13-E14)/(E8-E10-E12)*100-100,2)</f>
        <v>10.14</v>
      </c>
      <c r="F7" s="101">
        <f>ROUND((F9-F11-F13-F14)/(F8-F10-F12)*100-100,2)</f>
        <v>9.96</v>
      </c>
      <c r="G7" s="101">
        <f>ROUND((G9-G11-G13-G14)/(G8-G10-G12)*100-100,2)</f>
        <v>1.02</v>
      </c>
      <c r="H7" s="101">
        <f>ROUND((H9-H11-H13-H14)/(H8-H10-H12)*100-100,2)</f>
        <v>0.86</v>
      </c>
      <c r="I7" s="145"/>
      <c r="J7" s="137"/>
    </row>
    <row r="8" spans="1:11" ht="46.5" customHeight="1">
      <c r="A8" s="194" t="s">
        <v>14</v>
      </c>
      <c r="B8" s="195"/>
      <c r="C8" s="85" t="s">
        <v>16</v>
      </c>
      <c r="D8" s="105">
        <v>41637347.3</v>
      </c>
      <c r="E8" s="105">
        <v>521301963.16</v>
      </c>
      <c r="F8" s="105">
        <v>13077425.1</v>
      </c>
      <c r="G8" s="105">
        <v>1472766657.81</v>
      </c>
      <c r="H8" s="105">
        <v>312406311.47</v>
      </c>
      <c r="I8" s="146"/>
      <c r="J8" s="138"/>
      <c r="K8" s="4"/>
    </row>
    <row r="9" spans="1:11" ht="51" customHeight="1">
      <c r="A9" s="194" t="s">
        <v>1</v>
      </c>
      <c r="B9" s="195"/>
      <c r="C9" s="85" t="s">
        <v>16</v>
      </c>
      <c r="D9" s="105">
        <v>40714982.42</v>
      </c>
      <c r="E9" s="105">
        <v>615903459.26</v>
      </c>
      <c r="F9" s="105">
        <v>14380304.94</v>
      </c>
      <c r="G9" s="105">
        <v>1539823741.16</v>
      </c>
      <c r="H9" s="105">
        <v>334552619.93</v>
      </c>
      <c r="I9" s="146"/>
      <c r="J9" s="138"/>
      <c r="K9" s="4"/>
    </row>
    <row r="10" spans="1:11" ht="45.75" customHeight="1">
      <c r="A10" s="194" t="s">
        <v>2</v>
      </c>
      <c r="B10" s="195"/>
      <c r="C10" s="85" t="s">
        <v>16</v>
      </c>
      <c r="D10" s="105">
        <v>0</v>
      </c>
      <c r="E10" s="105">
        <v>52708043.6</v>
      </c>
      <c r="F10" s="105">
        <v>0</v>
      </c>
      <c r="G10" s="105">
        <v>816438225.24</v>
      </c>
      <c r="H10" s="105">
        <v>30628874.15</v>
      </c>
      <c r="I10" s="146"/>
      <c r="J10" s="138"/>
      <c r="K10" s="4"/>
    </row>
    <row r="11" spans="1:11" ht="44.25" customHeight="1">
      <c r="A11" s="194" t="s">
        <v>3</v>
      </c>
      <c r="B11" s="195"/>
      <c r="C11" s="85" t="s">
        <v>16</v>
      </c>
      <c r="D11" s="105">
        <v>0</v>
      </c>
      <c r="E11" s="105">
        <v>109749867.19</v>
      </c>
      <c r="F11" s="105">
        <v>0</v>
      </c>
      <c r="G11" s="105">
        <v>864695054.17</v>
      </c>
      <c r="H11" s="105">
        <v>31016151.22</v>
      </c>
      <c r="I11" s="146"/>
      <c r="J11" s="138"/>
      <c r="K11" s="4"/>
    </row>
    <row r="12" spans="1:11" ht="42.75" customHeight="1">
      <c r="A12" s="194" t="s">
        <v>4</v>
      </c>
      <c r="B12" s="195"/>
      <c r="C12" s="85" t="s">
        <v>16</v>
      </c>
      <c r="D12" s="105">
        <v>0</v>
      </c>
      <c r="E12" s="105">
        <f>СФС!C4</f>
        <v>48420730.993</v>
      </c>
      <c r="F12" s="105">
        <f>'[1]СФС'!C4</f>
        <v>0</v>
      </c>
      <c r="G12" s="105">
        <f>СФС!E4</f>
        <v>16270304.3</v>
      </c>
      <c r="H12" s="105">
        <f>СФС!F4</f>
        <v>15337272.69</v>
      </c>
      <c r="I12" s="146"/>
      <c r="J12" s="138"/>
      <c r="K12" s="4"/>
    </row>
    <row r="13" spans="1:11" ht="47.25" customHeight="1">
      <c r="A13" s="189" t="s">
        <v>5</v>
      </c>
      <c r="B13" s="190"/>
      <c r="C13" s="86" t="s">
        <v>16</v>
      </c>
      <c r="D13" s="105">
        <v>0</v>
      </c>
      <c r="E13" s="105">
        <f>СФС!C17</f>
        <v>43368839.8</v>
      </c>
      <c r="F13" s="105">
        <v>0</v>
      </c>
      <c r="G13" s="105">
        <f>СФС!E17</f>
        <v>28536627.3</v>
      </c>
      <c r="H13" s="105">
        <f>СФС!F17</f>
        <v>34804040.69</v>
      </c>
      <c r="I13" s="146"/>
      <c r="J13" s="138"/>
      <c r="K13" s="4"/>
    </row>
    <row r="14" spans="1:10" ht="48" customHeight="1">
      <c r="A14" s="191" t="s">
        <v>6</v>
      </c>
      <c r="B14" s="192"/>
      <c r="C14" s="87" t="s">
        <v>16</v>
      </c>
      <c r="D14" s="105">
        <v>500000</v>
      </c>
      <c r="E14" s="105">
        <v>0</v>
      </c>
      <c r="F14" s="105">
        <v>0</v>
      </c>
      <c r="G14" s="105">
        <v>0</v>
      </c>
      <c r="H14" s="105">
        <v>0</v>
      </c>
      <c r="I14" s="147"/>
      <c r="J14" s="139"/>
    </row>
    <row r="15" spans="1:11" ht="48" customHeight="1">
      <c r="A15" s="199" t="s">
        <v>25</v>
      </c>
      <c r="B15" s="200"/>
      <c r="C15" s="15" t="s">
        <v>7</v>
      </c>
      <c r="D15" s="101">
        <v>20</v>
      </c>
      <c r="E15" s="16">
        <v>20</v>
      </c>
      <c r="F15" s="16">
        <f>E15</f>
        <v>20</v>
      </c>
      <c r="G15" s="16">
        <f>F15</f>
        <v>20</v>
      </c>
      <c r="H15" s="16">
        <f>G15</f>
        <v>20</v>
      </c>
      <c r="I15" s="16">
        <f>H15</f>
        <v>20</v>
      </c>
      <c r="J15" s="112"/>
      <c r="K15" s="4"/>
    </row>
    <row r="16" spans="1:10" ht="39" customHeight="1">
      <c r="A16" s="199" t="s">
        <v>24</v>
      </c>
      <c r="B16" s="200"/>
      <c r="C16" s="15" t="s">
        <v>23</v>
      </c>
      <c r="D16" s="101">
        <v>1</v>
      </c>
      <c r="E16" s="16">
        <v>0</v>
      </c>
      <c r="F16" s="16">
        <f>ROUND(1-F7/100,2)</f>
        <v>0.9</v>
      </c>
      <c r="G16" s="16">
        <f>ROUND(1-G7/100,2)</f>
        <v>0.99</v>
      </c>
      <c r="H16" s="16">
        <f>ROUND(1-H7/100,2)</f>
        <v>0.99</v>
      </c>
      <c r="I16" s="16">
        <f>ROUND(1-I7/100,2)</f>
        <v>1</v>
      </c>
      <c r="J16" s="113" t="s">
        <v>29</v>
      </c>
    </row>
    <row r="17" spans="1:10" ht="57.75" customHeight="1">
      <c r="A17" s="19" t="s">
        <v>21</v>
      </c>
      <c r="B17" s="75" t="s">
        <v>20</v>
      </c>
      <c r="C17" s="15" t="s">
        <v>30</v>
      </c>
      <c r="D17" s="101">
        <f>D18</f>
        <v>2</v>
      </c>
      <c r="E17" s="16">
        <f>E18</f>
        <v>3</v>
      </c>
      <c r="F17" s="16">
        <f>F18</f>
        <v>2</v>
      </c>
      <c r="G17" s="16">
        <f>G18</f>
        <v>3</v>
      </c>
      <c r="H17" s="16">
        <f>H18</f>
        <v>3</v>
      </c>
      <c r="I17" s="201"/>
      <c r="J17" s="150" t="s">
        <v>31</v>
      </c>
    </row>
    <row r="18" spans="1:10" ht="78.75" customHeight="1">
      <c r="A18" s="206" t="s">
        <v>8</v>
      </c>
      <c r="B18" s="207"/>
      <c r="C18" s="81" t="s">
        <v>30</v>
      </c>
      <c r="D18" s="140">
        <v>2</v>
      </c>
      <c r="E18" s="140">
        <v>3</v>
      </c>
      <c r="F18" s="140">
        <v>2</v>
      </c>
      <c r="G18" s="140">
        <v>3</v>
      </c>
      <c r="H18" s="140">
        <v>3</v>
      </c>
      <c r="I18" s="202"/>
      <c r="J18" s="151"/>
    </row>
    <row r="19" spans="1:10" ht="19.5" customHeight="1">
      <c r="A19" s="204" t="s">
        <v>22</v>
      </c>
      <c r="B19" s="205"/>
      <c r="C19" s="82"/>
      <c r="D19" s="141"/>
      <c r="E19" s="141"/>
      <c r="F19" s="141"/>
      <c r="G19" s="141"/>
      <c r="H19" s="141"/>
      <c r="I19" s="202"/>
      <c r="J19" s="151"/>
    </row>
    <row r="20" spans="1:11" ht="66.75" customHeight="1">
      <c r="A20" s="198" t="s">
        <v>9</v>
      </c>
      <c r="B20" s="198"/>
      <c r="C20" s="83" t="s">
        <v>11</v>
      </c>
      <c r="D20" s="105">
        <v>4</v>
      </c>
      <c r="E20" s="105">
        <v>8</v>
      </c>
      <c r="F20" s="105">
        <v>2</v>
      </c>
      <c r="G20" s="105">
        <v>7</v>
      </c>
      <c r="H20" s="105">
        <v>6</v>
      </c>
      <c r="I20" s="202"/>
      <c r="J20" s="151"/>
      <c r="K20" s="50"/>
    </row>
    <row r="21" spans="1:10" ht="82.5" customHeight="1">
      <c r="A21" s="198" t="s">
        <v>10</v>
      </c>
      <c r="B21" s="198"/>
      <c r="C21" s="83" t="s">
        <v>11</v>
      </c>
      <c r="D21" s="105">
        <v>3</v>
      </c>
      <c r="E21" s="105">
        <v>6</v>
      </c>
      <c r="F21" s="105">
        <v>2</v>
      </c>
      <c r="G21" s="105">
        <v>1</v>
      </c>
      <c r="H21" s="105">
        <v>1</v>
      </c>
      <c r="I21" s="202"/>
      <c r="J21" s="151"/>
    </row>
    <row r="22" spans="1:10" ht="64.5" customHeight="1">
      <c r="A22" s="198" t="s">
        <v>178</v>
      </c>
      <c r="B22" s="198"/>
      <c r="C22" s="83" t="s">
        <v>11</v>
      </c>
      <c r="D22" s="105">
        <v>0</v>
      </c>
      <c r="E22" s="105">
        <v>8</v>
      </c>
      <c r="F22" s="105">
        <v>0</v>
      </c>
      <c r="G22" s="105">
        <v>3</v>
      </c>
      <c r="H22" s="105">
        <v>2</v>
      </c>
      <c r="I22" s="203"/>
      <c r="J22" s="197"/>
    </row>
    <row r="23" spans="1:10" ht="27" customHeight="1">
      <c r="A23" s="169" t="s">
        <v>25</v>
      </c>
      <c r="B23" s="169"/>
      <c r="C23" s="15" t="s">
        <v>7</v>
      </c>
      <c r="D23" s="16">
        <v>30</v>
      </c>
      <c r="E23" s="16">
        <v>30</v>
      </c>
      <c r="F23" s="16">
        <f>E23</f>
        <v>30</v>
      </c>
      <c r="G23" s="16">
        <f>F23</f>
        <v>30</v>
      </c>
      <c r="H23" s="16">
        <f>G23</f>
        <v>30</v>
      </c>
      <c r="I23" s="16">
        <f>H23</f>
        <v>30</v>
      </c>
      <c r="J23" s="115" t="s">
        <v>29</v>
      </c>
    </row>
    <row r="24" spans="1:10" ht="27" customHeight="1">
      <c r="A24" s="169" t="s">
        <v>36</v>
      </c>
      <c r="B24" s="169"/>
      <c r="C24" s="15" t="s">
        <v>23</v>
      </c>
      <c r="D24" s="101">
        <v>0.25</v>
      </c>
      <c r="E24" s="101">
        <v>0</v>
      </c>
      <c r="F24" s="101">
        <v>0.25</v>
      </c>
      <c r="G24" s="101">
        <v>0</v>
      </c>
      <c r="H24" s="101">
        <v>0</v>
      </c>
      <c r="I24" s="16">
        <v>1</v>
      </c>
      <c r="J24" s="115" t="s">
        <v>29</v>
      </c>
    </row>
    <row r="25" spans="1:10" ht="84" customHeight="1">
      <c r="A25" s="51" t="s">
        <v>32</v>
      </c>
      <c r="B25" s="76" t="s">
        <v>33</v>
      </c>
      <c r="C25" s="52" t="s">
        <v>34</v>
      </c>
      <c r="D25" s="53">
        <v>0</v>
      </c>
      <c r="E25" s="53">
        <v>0</v>
      </c>
      <c r="F25" s="53">
        <v>0</v>
      </c>
      <c r="G25" s="53">
        <v>0</v>
      </c>
      <c r="H25" s="54">
        <v>0</v>
      </c>
      <c r="I25" s="55"/>
      <c r="J25" s="142"/>
    </row>
    <row r="26" spans="1:10" ht="53.25" customHeight="1">
      <c r="A26" s="196" t="s">
        <v>35</v>
      </c>
      <c r="B26" s="196"/>
      <c r="C26" s="88" t="s">
        <v>11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9"/>
      <c r="J26" s="142"/>
    </row>
    <row r="27" spans="1:10" ht="22.5" customHeight="1">
      <c r="A27" s="169" t="s">
        <v>25</v>
      </c>
      <c r="B27" s="169"/>
      <c r="C27" s="15" t="s">
        <v>7</v>
      </c>
      <c r="D27" s="16">
        <v>15</v>
      </c>
      <c r="E27" s="16">
        <v>15</v>
      </c>
      <c r="F27" s="16">
        <f>E27</f>
        <v>15</v>
      </c>
      <c r="G27" s="16">
        <f>F27</f>
        <v>15</v>
      </c>
      <c r="H27" s="16">
        <f>G27</f>
        <v>15</v>
      </c>
      <c r="I27" s="16">
        <v>15</v>
      </c>
      <c r="J27" s="115"/>
    </row>
    <row r="28" spans="1:10" ht="29.25" customHeight="1">
      <c r="A28" s="169" t="s">
        <v>37</v>
      </c>
      <c r="B28" s="169"/>
      <c r="C28" s="15" t="s">
        <v>23</v>
      </c>
      <c r="D28" s="16">
        <f>ROUND(1-D25/100,4)</f>
        <v>1</v>
      </c>
      <c r="E28" s="16">
        <f>ROUND(1-E25/100,4)</f>
        <v>1</v>
      </c>
      <c r="F28" s="16">
        <f>ROUND(1-F25/100,4)</f>
        <v>1</v>
      </c>
      <c r="G28" s="16">
        <f>ROUND(1-G25/100,4)</f>
        <v>1</v>
      </c>
      <c r="H28" s="16">
        <f>ROUND(1-H25/100,4)</f>
        <v>1</v>
      </c>
      <c r="I28" s="16">
        <v>1</v>
      </c>
      <c r="J28" s="115" t="s">
        <v>29</v>
      </c>
    </row>
    <row r="29" spans="1:10" ht="69" customHeight="1">
      <c r="A29" s="21" t="s">
        <v>38</v>
      </c>
      <c r="B29" s="75" t="s">
        <v>39</v>
      </c>
      <c r="C29" s="20" t="s">
        <v>41</v>
      </c>
      <c r="D29" s="17">
        <f>D30</f>
        <v>0</v>
      </c>
      <c r="E29" s="17">
        <f>E30</f>
        <v>0</v>
      </c>
      <c r="F29" s="17">
        <f>F30</f>
        <v>0</v>
      </c>
      <c r="G29" s="17">
        <f>G30</f>
        <v>0</v>
      </c>
      <c r="H29" s="17">
        <f>H30</f>
        <v>0</v>
      </c>
      <c r="I29" s="17"/>
      <c r="J29" s="150" t="s">
        <v>43</v>
      </c>
    </row>
    <row r="30" spans="1:10" ht="48" customHeight="1">
      <c r="A30" s="172" t="s">
        <v>40</v>
      </c>
      <c r="B30" s="173"/>
      <c r="C30" s="88" t="s">
        <v>41</v>
      </c>
      <c r="D30" s="104">
        <v>0</v>
      </c>
      <c r="E30" s="104">
        <v>0</v>
      </c>
      <c r="F30" s="104">
        <v>0</v>
      </c>
      <c r="G30" s="104">
        <v>0</v>
      </c>
      <c r="H30" s="84">
        <v>0</v>
      </c>
      <c r="I30" s="89"/>
      <c r="J30" s="151"/>
    </row>
    <row r="31" spans="1:10" ht="24.75" customHeight="1">
      <c r="A31" s="169" t="s">
        <v>25</v>
      </c>
      <c r="B31" s="169"/>
      <c r="C31" s="15" t="s">
        <v>7</v>
      </c>
      <c r="D31" s="16">
        <v>35</v>
      </c>
      <c r="E31" s="16">
        <v>35</v>
      </c>
      <c r="F31" s="16">
        <f>E31</f>
        <v>35</v>
      </c>
      <c r="G31" s="16">
        <f>F31</f>
        <v>35</v>
      </c>
      <c r="H31" s="16">
        <f>G31</f>
        <v>35</v>
      </c>
      <c r="I31" s="16">
        <v>35</v>
      </c>
      <c r="J31" s="115" t="s">
        <v>29</v>
      </c>
    </row>
    <row r="32" spans="1:10" ht="24.75" customHeight="1">
      <c r="A32" s="193" t="s">
        <v>42</v>
      </c>
      <c r="B32" s="169"/>
      <c r="C32" s="15" t="s">
        <v>23</v>
      </c>
      <c r="D32" s="16">
        <v>5</v>
      </c>
      <c r="E32" s="16">
        <v>5</v>
      </c>
      <c r="F32" s="16">
        <v>5</v>
      </c>
      <c r="G32" s="16">
        <v>5</v>
      </c>
      <c r="H32" s="16">
        <v>5</v>
      </c>
      <c r="I32" s="16">
        <v>5</v>
      </c>
      <c r="J32" s="115" t="s">
        <v>29</v>
      </c>
    </row>
    <row r="33" spans="1:10" s="3" customFormat="1" ht="26.25" customHeight="1">
      <c r="A33" s="9" t="s">
        <v>45</v>
      </c>
      <c r="B33" s="73" t="s">
        <v>46</v>
      </c>
      <c r="C33" s="10" t="s">
        <v>23</v>
      </c>
      <c r="D33" s="11">
        <f aca="true" t="shared" si="1" ref="D33:I33">ROUND(D39*0.25+D43*0.25+D47*0.2+D52*0.3,4)</f>
        <v>2.195</v>
      </c>
      <c r="E33" s="11">
        <f t="shared" si="1"/>
        <v>2.1675</v>
      </c>
      <c r="F33" s="11">
        <f t="shared" si="1"/>
        <v>1.9975</v>
      </c>
      <c r="G33" s="11">
        <f t="shared" si="1"/>
        <v>2</v>
      </c>
      <c r="H33" s="11">
        <f t="shared" si="1"/>
        <v>2</v>
      </c>
      <c r="I33" s="11">
        <f t="shared" si="1"/>
        <v>2.2</v>
      </c>
      <c r="J33" s="111" t="s">
        <v>29</v>
      </c>
    </row>
    <row r="34" spans="1:10" ht="23.25" customHeight="1">
      <c r="A34" s="12"/>
      <c r="B34" s="73" t="s">
        <v>44</v>
      </c>
      <c r="C34" s="10" t="s">
        <v>7</v>
      </c>
      <c r="D34" s="10">
        <v>25</v>
      </c>
      <c r="E34" s="13">
        <v>25</v>
      </c>
      <c r="F34" s="13">
        <f>E34</f>
        <v>25</v>
      </c>
      <c r="G34" s="13">
        <f>F34</f>
        <v>25</v>
      </c>
      <c r="H34" s="13">
        <f>G34</f>
        <v>25</v>
      </c>
      <c r="I34" s="13">
        <v>25</v>
      </c>
      <c r="J34" s="111" t="s">
        <v>29</v>
      </c>
    </row>
    <row r="35" spans="1:10" ht="54" customHeight="1">
      <c r="A35" s="56" t="s">
        <v>110</v>
      </c>
      <c r="B35" s="76" t="s">
        <v>107</v>
      </c>
      <c r="C35" s="57" t="s">
        <v>7</v>
      </c>
      <c r="D35" s="55">
        <f>ROUND((D36-D37)/D36*100,2)</f>
        <v>2.02</v>
      </c>
      <c r="E35" s="55">
        <f>ROUND((E36-E37)/E36*100,2)</f>
        <v>12.55</v>
      </c>
      <c r="F35" s="55">
        <f>ROUND((F36-F37)/F36*100,2)</f>
        <v>0.98</v>
      </c>
      <c r="G35" s="55">
        <f>ROUND((G36-G37)/G36*100,2)</f>
        <v>0.49</v>
      </c>
      <c r="H35" s="55">
        <f>ROUND((H36-H37)/H36*100,2)</f>
        <v>0.07</v>
      </c>
      <c r="I35" s="55"/>
      <c r="J35" s="112"/>
    </row>
    <row r="36" spans="1:11" ht="49.5" customHeight="1">
      <c r="A36" s="172" t="s">
        <v>108</v>
      </c>
      <c r="B36" s="173"/>
      <c r="C36" s="90" t="s">
        <v>16</v>
      </c>
      <c r="D36" s="126">
        <f>D9</f>
        <v>40714982.42</v>
      </c>
      <c r="E36" s="126">
        <f>E9</f>
        <v>615903459.26</v>
      </c>
      <c r="F36" s="126">
        <f>F9</f>
        <v>14380304.94</v>
      </c>
      <c r="G36" s="126">
        <f>G9</f>
        <v>1539823741.16</v>
      </c>
      <c r="H36" s="126">
        <f>H9</f>
        <v>334552619.93</v>
      </c>
      <c r="I36" s="91"/>
      <c r="J36" s="142"/>
      <c r="K36" s="4"/>
    </row>
    <row r="37" spans="1:10" ht="49.5" customHeight="1">
      <c r="A37" s="172" t="s">
        <v>109</v>
      </c>
      <c r="B37" s="173"/>
      <c r="C37" s="90" t="s">
        <v>16</v>
      </c>
      <c r="D37" s="126">
        <v>39891497.87</v>
      </c>
      <c r="E37" s="91">
        <v>538596494.09</v>
      </c>
      <c r="F37" s="91">
        <v>14239773.97</v>
      </c>
      <c r="G37" s="91">
        <v>1532348869.69</v>
      </c>
      <c r="H37" s="91">
        <v>334317766.08</v>
      </c>
      <c r="I37" s="91"/>
      <c r="J37" s="142"/>
    </row>
    <row r="38" spans="1:10" ht="23.25" customHeight="1">
      <c r="A38" s="187" t="s">
        <v>25</v>
      </c>
      <c r="B38" s="188"/>
      <c r="C38" s="57" t="s">
        <v>7</v>
      </c>
      <c r="D38" s="55">
        <v>25</v>
      </c>
      <c r="E38" s="55">
        <v>25</v>
      </c>
      <c r="F38" s="55">
        <f>E38</f>
        <v>25</v>
      </c>
      <c r="G38" s="55">
        <f>F38</f>
        <v>25</v>
      </c>
      <c r="H38" s="55">
        <f>G38</f>
        <v>25</v>
      </c>
      <c r="I38" s="55">
        <v>25</v>
      </c>
      <c r="J38" s="115" t="s">
        <v>29</v>
      </c>
    </row>
    <row r="39" spans="1:10" ht="23.25" customHeight="1">
      <c r="A39" s="187" t="s">
        <v>146</v>
      </c>
      <c r="B39" s="188"/>
      <c r="C39" s="57" t="s">
        <v>23</v>
      </c>
      <c r="D39" s="55">
        <f aca="true" t="shared" si="2" ref="D39:I39">ROUND(1-D35/100,2)</f>
        <v>0.98</v>
      </c>
      <c r="E39" s="55">
        <f t="shared" si="2"/>
        <v>0.87</v>
      </c>
      <c r="F39" s="55">
        <f t="shared" si="2"/>
        <v>0.99</v>
      </c>
      <c r="G39" s="55">
        <f t="shared" si="2"/>
        <v>1</v>
      </c>
      <c r="H39" s="55">
        <f t="shared" si="2"/>
        <v>1</v>
      </c>
      <c r="I39" s="55">
        <f t="shared" si="2"/>
        <v>1</v>
      </c>
      <c r="J39" s="115" t="s">
        <v>29</v>
      </c>
    </row>
    <row r="40" spans="1:10" ht="50.25" customHeight="1">
      <c r="A40" s="21" t="s">
        <v>50</v>
      </c>
      <c r="B40" s="75" t="s">
        <v>47</v>
      </c>
      <c r="C40" s="20" t="s">
        <v>49</v>
      </c>
      <c r="D40" s="18" t="s">
        <v>55</v>
      </c>
      <c r="E40" s="17" t="str">
        <f>E41</f>
        <v>нет</v>
      </c>
      <c r="F40" s="17" t="str">
        <f>F41</f>
        <v>нет</v>
      </c>
      <c r="G40" s="17" t="str">
        <f>G41</f>
        <v>нет</v>
      </c>
      <c r="H40" s="23" t="str">
        <f>H41</f>
        <v>нет</v>
      </c>
      <c r="I40" s="23"/>
      <c r="J40" s="150" t="s">
        <v>51</v>
      </c>
    </row>
    <row r="41" spans="1:10" ht="71.25" customHeight="1">
      <c r="A41" s="172" t="s">
        <v>48</v>
      </c>
      <c r="B41" s="173"/>
      <c r="C41" s="90" t="s">
        <v>49</v>
      </c>
      <c r="D41" s="90" t="s">
        <v>55</v>
      </c>
      <c r="E41" s="90" t="s">
        <v>55</v>
      </c>
      <c r="F41" s="90" t="s">
        <v>55</v>
      </c>
      <c r="G41" s="128" t="s">
        <v>55</v>
      </c>
      <c r="H41" s="129" t="s">
        <v>55</v>
      </c>
      <c r="I41" s="79"/>
      <c r="J41" s="151"/>
    </row>
    <row r="42" spans="1:10" ht="22.5" customHeight="1">
      <c r="A42" s="169" t="s">
        <v>25</v>
      </c>
      <c r="B42" s="169"/>
      <c r="C42" s="15" t="s">
        <v>7</v>
      </c>
      <c r="D42" s="16">
        <v>25</v>
      </c>
      <c r="E42" s="16">
        <v>25</v>
      </c>
      <c r="F42" s="16">
        <f>E42</f>
        <v>25</v>
      </c>
      <c r="G42" s="16">
        <f>F42</f>
        <v>25</v>
      </c>
      <c r="H42" s="22">
        <f>G42</f>
        <v>25</v>
      </c>
      <c r="I42" s="22">
        <v>25</v>
      </c>
      <c r="J42" s="115" t="s">
        <v>29</v>
      </c>
    </row>
    <row r="43" spans="1:10" ht="28.5" customHeight="1">
      <c r="A43" s="169" t="s">
        <v>70</v>
      </c>
      <c r="B43" s="169"/>
      <c r="C43" s="15" t="s">
        <v>23</v>
      </c>
      <c r="D43" s="16">
        <v>1</v>
      </c>
      <c r="E43" s="16">
        <v>1</v>
      </c>
      <c r="F43" s="16">
        <v>1</v>
      </c>
      <c r="G43" s="16">
        <v>1</v>
      </c>
      <c r="H43" s="22">
        <v>1</v>
      </c>
      <c r="I43" s="22">
        <v>1</v>
      </c>
      <c r="J43" s="115" t="s">
        <v>29</v>
      </c>
    </row>
    <row r="44" spans="1:10" ht="80.25" customHeight="1">
      <c r="A44" s="21" t="s">
        <v>52</v>
      </c>
      <c r="B44" s="75" t="s">
        <v>53</v>
      </c>
      <c r="C44" s="20" t="s">
        <v>49</v>
      </c>
      <c r="D44" s="18" t="s">
        <v>55</v>
      </c>
      <c r="E44" s="17" t="str">
        <f>E45</f>
        <v>нет</v>
      </c>
      <c r="F44" s="17" t="str">
        <f>F45</f>
        <v>да</v>
      </c>
      <c r="G44" s="17" t="str">
        <f>G45</f>
        <v>да</v>
      </c>
      <c r="H44" s="23" t="str">
        <f>H45</f>
        <v>да</v>
      </c>
      <c r="I44" s="23"/>
      <c r="J44" s="150" t="s">
        <v>51</v>
      </c>
    </row>
    <row r="45" spans="1:11" ht="90.75" customHeight="1">
      <c r="A45" s="172" t="s">
        <v>56</v>
      </c>
      <c r="B45" s="173"/>
      <c r="C45" s="90" t="s">
        <v>49</v>
      </c>
      <c r="D45" s="90" t="s">
        <v>55</v>
      </c>
      <c r="E45" s="90" t="s">
        <v>55</v>
      </c>
      <c r="F45" s="90" t="s">
        <v>54</v>
      </c>
      <c r="G45" s="85" t="s">
        <v>54</v>
      </c>
      <c r="H45" s="90" t="s">
        <v>54</v>
      </c>
      <c r="I45" s="79"/>
      <c r="J45" s="151"/>
      <c r="K45" s="80"/>
    </row>
    <row r="46" spans="1:10" ht="36.75" customHeight="1">
      <c r="A46" s="169" t="s">
        <v>25</v>
      </c>
      <c r="B46" s="169"/>
      <c r="C46" s="15" t="s">
        <v>7</v>
      </c>
      <c r="D46" s="16">
        <v>20</v>
      </c>
      <c r="E46" s="16">
        <v>20</v>
      </c>
      <c r="F46" s="16">
        <f>E46</f>
        <v>20</v>
      </c>
      <c r="G46" s="16">
        <f>F46</f>
        <v>20</v>
      </c>
      <c r="H46" s="22">
        <f>G46</f>
        <v>20</v>
      </c>
      <c r="I46" s="22">
        <v>20</v>
      </c>
      <c r="J46" s="115" t="s">
        <v>29</v>
      </c>
    </row>
    <row r="47" spans="1:10" ht="31.5" customHeight="1">
      <c r="A47" s="169" t="s">
        <v>69</v>
      </c>
      <c r="B47" s="169"/>
      <c r="C47" s="15" t="s">
        <v>23</v>
      </c>
      <c r="D47" s="16">
        <v>1</v>
      </c>
      <c r="E47" s="16">
        <v>1</v>
      </c>
      <c r="F47" s="16">
        <v>0</v>
      </c>
      <c r="G47" s="16">
        <v>0</v>
      </c>
      <c r="H47" s="22">
        <v>0</v>
      </c>
      <c r="I47" s="22">
        <v>1</v>
      </c>
      <c r="J47" s="115" t="s">
        <v>29</v>
      </c>
    </row>
    <row r="48" spans="1:10" ht="70.5" customHeight="1">
      <c r="A48" s="21" t="s">
        <v>111</v>
      </c>
      <c r="B48" s="75" t="s">
        <v>112</v>
      </c>
      <c r="C48" s="15" t="s">
        <v>7</v>
      </c>
      <c r="D48" s="17">
        <f>ROUND(D49/D50*100,2)</f>
        <v>93.78</v>
      </c>
      <c r="E48" s="17">
        <f>ROUND(E49/E50*100,2)</f>
        <v>96.97</v>
      </c>
      <c r="F48" s="17">
        <f>ROUND(F49/F50*100,2)</f>
        <v>91.02</v>
      </c>
      <c r="G48" s="17">
        <f>ROUND(G49/G50*100,2)</f>
        <v>100</v>
      </c>
      <c r="H48" s="17">
        <f>ROUND(H49/H50*100,2)</f>
        <v>100</v>
      </c>
      <c r="I48" s="17"/>
      <c r="J48" s="150" t="s">
        <v>179</v>
      </c>
    </row>
    <row r="49" spans="1:10" ht="66" customHeight="1">
      <c r="A49" s="172" t="s">
        <v>150</v>
      </c>
      <c r="B49" s="173"/>
      <c r="C49" s="92" t="s">
        <v>16</v>
      </c>
      <c r="D49" s="127">
        <f>D50-2481488.28</f>
        <v>37410009.589999996</v>
      </c>
      <c r="E49" s="127">
        <f>E50-14456888.19</f>
        <v>463029357.14000005</v>
      </c>
      <c r="F49" s="93">
        <f>F50-1046010.47-233225.55</f>
        <v>12960537.95</v>
      </c>
      <c r="G49" s="93">
        <f>G50</f>
        <v>675016881.71</v>
      </c>
      <c r="H49" s="93">
        <f>H50</f>
        <v>303442809.18</v>
      </c>
      <c r="I49" s="93"/>
      <c r="J49" s="151"/>
    </row>
    <row r="50" spans="1:10" ht="49.5" customHeight="1">
      <c r="A50" s="172" t="s">
        <v>113</v>
      </c>
      <c r="B50" s="173"/>
      <c r="C50" s="92" t="s">
        <v>16</v>
      </c>
      <c r="D50" s="93">
        <f>D37</f>
        <v>39891497.87</v>
      </c>
      <c r="E50" s="93">
        <f>E37-61110248.76</f>
        <v>477486245.33000004</v>
      </c>
      <c r="F50" s="93">
        <f>F37</f>
        <v>14239773.97</v>
      </c>
      <c r="G50" s="93">
        <f>G37-857331987.98</f>
        <v>675016881.71</v>
      </c>
      <c r="H50" s="93">
        <f>H37-30874956.9</f>
        <v>303442809.18</v>
      </c>
      <c r="I50" s="94"/>
      <c r="J50" s="114"/>
    </row>
    <row r="51" spans="1:10" ht="35.25" customHeight="1">
      <c r="A51" s="169" t="s">
        <v>25</v>
      </c>
      <c r="B51" s="169"/>
      <c r="C51" s="15" t="s">
        <v>7</v>
      </c>
      <c r="D51" s="16">
        <v>30</v>
      </c>
      <c r="E51" s="16">
        <v>30</v>
      </c>
      <c r="F51" s="16">
        <f>E51</f>
        <v>30</v>
      </c>
      <c r="G51" s="16">
        <f>F51</f>
        <v>30</v>
      </c>
      <c r="H51" s="22">
        <f>G51</f>
        <v>30</v>
      </c>
      <c r="I51" s="22">
        <v>30</v>
      </c>
      <c r="J51" s="115" t="s">
        <v>29</v>
      </c>
    </row>
    <row r="52" spans="1:10" ht="37.5" customHeight="1">
      <c r="A52" s="169" t="s">
        <v>147</v>
      </c>
      <c r="B52" s="169"/>
      <c r="C52" s="15" t="s">
        <v>23</v>
      </c>
      <c r="D52" s="16">
        <v>5</v>
      </c>
      <c r="E52" s="16">
        <v>5</v>
      </c>
      <c r="F52" s="16">
        <v>5</v>
      </c>
      <c r="G52" s="16">
        <v>5</v>
      </c>
      <c r="H52" s="22">
        <v>5</v>
      </c>
      <c r="I52" s="22">
        <v>5</v>
      </c>
      <c r="J52" s="115" t="s">
        <v>29</v>
      </c>
    </row>
    <row r="53" spans="1:10" ht="40.5" customHeight="1">
      <c r="A53" s="9" t="s">
        <v>57</v>
      </c>
      <c r="B53" s="73" t="s">
        <v>58</v>
      </c>
      <c r="C53" s="10" t="s">
        <v>23</v>
      </c>
      <c r="D53" s="11">
        <f aca="true" t="shared" si="3" ref="D53:I53">ROUND(D59*0.5+D64*0.3+D68*0.2,4)</f>
        <v>2.7</v>
      </c>
      <c r="E53" s="11">
        <f t="shared" si="3"/>
        <v>2.7</v>
      </c>
      <c r="F53" s="11">
        <f t="shared" si="3"/>
        <v>2.7</v>
      </c>
      <c r="G53" s="11">
        <f t="shared" si="3"/>
        <v>4.2</v>
      </c>
      <c r="H53" s="11">
        <f t="shared" si="3"/>
        <v>2.7</v>
      </c>
      <c r="I53" s="11">
        <f t="shared" si="3"/>
        <v>4.2</v>
      </c>
      <c r="J53" s="111" t="s">
        <v>29</v>
      </c>
    </row>
    <row r="54" spans="1:10" ht="39.75" customHeight="1">
      <c r="A54" s="12"/>
      <c r="B54" s="73" t="s">
        <v>44</v>
      </c>
      <c r="C54" s="10" t="s">
        <v>7</v>
      </c>
      <c r="D54" s="13">
        <v>9</v>
      </c>
      <c r="E54" s="13">
        <v>9</v>
      </c>
      <c r="F54" s="13">
        <f>E54</f>
        <v>9</v>
      </c>
      <c r="G54" s="13">
        <f>F54</f>
        <v>9</v>
      </c>
      <c r="H54" s="13">
        <f>G54</f>
        <v>9</v>
      </c>
      <c r="I54" s="13">
        <v>9</v>
      </c>
      <c r="J54" s="116" t="s">
        <v>29</v>
      </c>
    </row>
    <row r="55" spans="1:10" ht="63">
      <c r="A55" s="21" t="s">
        <v>59</v>
      </c>
      <c r="B55" s="75" t="s">
        <v>61</v>
      </c>
      <c r="C55" s="20" t="s">
        <v>7</v>
      </c>
      <c r="D55" s="58">
        <f>D56</f>
        <v>100</v>
      </c>
      <c r="E55" s="58">
        <f>E56</f>
        <v>95.79045312816608</v>
      </c>
      <c r="F55" s="58">
        <f>F56</f>
        <v>94.27089031581349</v>
      </c>
      <c r="G55" s="58">
        <f>G56</f>
        <v>100</v>
      </c>
      <c r="H55" s="58">
        <f>H56</f>
        <v>100</v>
      </c>
      <c r="I55" s="24"/>
      <c r="J55" s="134"/>
    </row>
    <row r="56" spans="1:10" ht="60" customHeight="1">
      <c r="A56" s="172" t="s">
        <v>63</v>
      </c>
      <c r="B56" s="173"/>
      <c r="C56" s="174" t="s">
        <v>7</v>
      </c>
      <c r="D56" s="143">
        <f>777426.16/777426.16*100</f>
        <v>100</v>
      </c>
      <c r="E56" s="143">
        <f>109098950.31/113893344.01*100</f>
        <v>95.79045312816608</v>
      </c>
      <c r="F56" s="143">
        <f>1842225.26/1954182.52*100</f>
        <v>94.27089031581349</v>
      </c>
      <c r="G56" s="143">
        <f>189644.83/189644.83*100</f>
        <v>100</v>
      </c>
      <c r="H56" s="143">
        <f>27400.61/27400.61*100</f>
        <v>100</v>
      </c>
      <c r="I56" s="140"/>
      <c r="J56" s="135"/>
    </row>
    <row r="57" spans="1:10" ht="53.25" customHeight="1">
      <c r="A57" s="172" t="s">
        <v>62</v>
      </c>
      <c r="B57" s="173"/>
      <c r="C57" s="174"/>
      <c r="D57" s="144"/>
      <c r="E57" s="144"/>
      <c r="F57" s="144"/>
      <c r="G57" s="144"/>
      <c r="H57" s="144"/>
      <c r="I57" s="141"/>
      <c r="J57" s="136"/>
    </row>
    <row r="58" spans="1:10" ht="44.25" customHeight="1">
      <c r="A58" s="175" t="s">
        <v>25</v>
      </c>
      <c r="B58" s="175"/>
      <c r="C58" s="15" t="s">
        <v>7</v>
      </c>
      <c r="D58" s="16">
        <v>50</v>
      </c>
      <c r="E58" s="16">
        <v>50</v>
      </c>
      <c r="F58" s="16">
        <f>E58</f>
        <v>50</v>
      </c>
      <c r="G58" s="16">
        <f>F58</f>
        <v>50</v>
      </c>
      <c r="H58" s="22">
        <f>G58</f>
        <v>50</v>
      </c>
      <c r="I58" s="22">
        <v>50</v>
      </c>
      <c r="J58" s="117" t="s">
        <v>29</v>
      </c>
    </row>
    <row r="59" spans="1:10" ht="42.75" customHeight="1">
      <c r="A59" s="169" t="s">
        <v>68</v>
      </c>
      <c r="B59" s="169"/>
      <c r="C59" s="15" t="s">
        <v>23</v>
      </c>
      <c r="D59" s="15">
        <v>5</v>
      </c>
      <c r="E59" s="16">
        <v>5</v>
      </c>
      <c r="F59" s="16">
        <v>5</v>
      </c>
      <c r="G59" s="16">
        <v>5</v>
      </c>
      <c r="H59" s="22">
        <v>5</v>
      </c>
      <c r="I59" s="22">
        <v>5</v>
      </c>
      <c r="J59" s="113" t="s">
        <v>29</v>
      </c>
    </row>
    <row r="60" spans="1:10" ht="60" customHeight="1">
      <c r="A60" s="21" t="s">
        <v>60</v>
      </c>
      <c r="B60" s="75" t="s">
        <v>64</v>
      </c>
      <c r="C60" s="38" t="s">
        <v>7</v>
      </c>
      <c r="D60" s="16">
        <f>D61</f>
        <v>2159.027463135534</v>
      </c>
      <c r="E60" s="16">
        <f>E61</f>
        <v>423.0676325377011</v>
      </c>
      <c r="F60" s="16">
        <f>F61</f>
        <v>4431.710328952931</v>
      </c>
      <c r="G60" s="16">
        <f>G61</f>
        <v>0</v>
      </c>
      <c r="H60" s="22">
        <f>H61</f>
        <v>965.5913864691333</v>
      </c>
      <c r="I60" s="59"/>
      <c r="J60" s="118"/>
    </row>
    <row r="61" spans="1:10" ht="46.5" customHeight="1">
      <c r="A61" s="172" t="s">
        <v>66</v>
      </c>
      <c r="B61" s="173"/>
      <c r="C61" s="161" t="s">
        <v>7</v>
      </c>
      <c r="D61" s="143">
        <f>16784844.3/777426.16*100</f>
        <v>2159.027463135534</v>
      </c>
      <c r="E61" s="143">
        <f>461562346.2/109098950.31*100</f>
        <v>423.0676325377011</v>
      </c>
      <c r="F61" s="143">
        <f>81642087.13/1842225.26*100</f>
        <v>4431.710328952931</v>
      </c>
      <c r="G61" s="143">
        <f>0/189644.83*100</f>
        <v>0</v>
      </c>
      <c r="H61" s="143">
        <f>264577.93/27400.61*100</f>
        <v>965.5913864691333</v>
      </c>
      <c r="I61" s="148"/>
      <c r="J61" s="119"/>
    </row>
    <row r="62" spans="1:10" ht="50.25" customHeight="1">
      <c r="A62" s="172" t="s">
        <v>65</v>
      </c>
      <c r="B62" s="173"/>
      <c r="C62" s="161"/>
      <c r="D62" s="144"/>
      <c r="E62" s="144"/>
      <c r="F62" s="144"/>
      <c r="G62" s="144"/>
      <c r="H62" s="144"/>
      <c r="I62" s="149"/>
      <c r="J62" s="107"/>
    </row>
    <row r="63" spans="1:10" ht="38.25" customHeight="1">
      <c r="A63" s="169" t="s">
        <v>25</v>
      </c>
      <c r="B63" s="169"/>
      <c r="C63" s="15" t="s">
        <v>7</v>
      </c>
      <c r="D63" s="16">
        <v>30</v>
      </c>
      <c r="E63" s="16">
        <v>30</v>
      </c>
      <c r="F63" s="16">
        <v>30</v>
      </c>
      <c r="G63" s="16">
        <f>F63</f>
        <v>30</v>
      </c>
      <c r="H63" s="22">
        <f>G63</f>
        <v>30</v>
      </c>
      <c r="I63" s="22">
        <v>30</v>
      </c>
      <c r="J63" s="117" t="s">
        <v>29</v>
      </c>
    </row>
    <row r="64" spans="1:10" ht="36" customHeight="1">
      <c r="A64" s="169" t="s">
        <v>67</v>
      </c>
      <c r="B64" s="169"/>
      <c r="C64" s="15" t="s">
        <v>23</v>
      </c>
      <c r="D64" s="16">
        <v>0</v>
      </c>
      <c r="E64" s="16">
        <v>0</v>
      </c>
      <c r="F64" s="16">
        <v>0</v>
      </c>
      <c r="G64" s="16">
        <v>5</v>
      </c>
      <c r="H64" s="22">
        <v>0</v>
      </c>
      <c r="I64" s="22">
        <v>5</v>
      </c>
      <c r="J64" s="115" t="s">
        <v>29</v>
      </c>
    </row>
    <row r="65" spans="1:10" ht="63" customHeight="1">
      <c r="A65" s="21" t="s">
        <v>114</v>
      </c>
      <c r="B65" s="75" t="s">
        <v>115</v>
      </c>
      <c r="C65" s="20" t="s">
        <v>41</v>
      </c>
      <c r="D65" s="17">
        <f>D66</f>
        <v>0</v>
      </c>
      <c r="E65" s="17">
        <f>E66</f>
        <v>0</v>
      </c>
      <c r="F65" s="17">
        <f>F66</f>
        <v>0</v>
      </c>
      <c r="G65" s="17">
        <f>G66</f>
        <v>0</v>
      </c>
      <c r="H65" s="23">
        <f>H66</f>
        <v>0</v>
      </c>
      <c r="I65" s="23"/>
      <c r="J65" s="112" t="s">
        <v>29</v>
      </c>
    </row>
    <row r="66" spans="1:10" ht="82.5" customHeight="1">
      <c r="A66" s="172" t="s">
        <v>116</v>
      </c>
      <c r="B66" s="173"/>
      <c r="C66" s="83" t="s">
        <v>41</v>
      </c>
      <c r="D66" s="104">
        <v>0</v>
      </c>
      <c r="E66" s="104">
        <v>0</v>
      </c>
      <c r="F66" s="104">
        <v>0</v>
      </c>
      <c r="G66" s="104">
        <v>0</v>
      </c>
      <c r="H66" s="84">
        <v>0</v>
      </c>
      <c r="I66" s="84"/>
      <c r="J66" s="106" t="s">
        <v>117</v>
      </c>
    </row>
    <row r="67" spans="1:10" ht="41.25" customHeight="1">
      <c r="A67" s="169" t="s">
        <v>25</v>
      </c>
      <c r="B67" s="169"/>
      <c r="C67" s="15" t="s">
        <v>7</v>
      </c>
      <c r="D67" s="16">
        <v>20</v>
      </c>
      <c r="E67" s="16">
        <v>20</v>
      </c>
      <c r="F67" s="16">
        <f>E67</f>
        <v>20</v>
      </c>
      <c r="G67" s="16">
        <f>F67</f>
        <v>20</v>
      </c>
      <c r="H67" s="22">
        <f>G67</f>
        <v>20</v>
      </c>
      <c r="I67" s="22">
        <v>20</v>
      </c>
      <c r="J67" s="112" t="s">
        <v>29</v>
      </c>
    </row>
    <row r="68" spans="1:10" ht="36" customHeight="1">
      <c r="A68" s="169" t="s">
        <v>118</v>
      </c>
      <c r="B68" s="169"/>
      <c r="C68" s="15" t="s">
        <v>23</v>
      </c>
      <c r="D68" s="16">
        <v>1</v>
      </c>
      <c r="E68" s="16">
        <v>1</v>
      </c>
      <c r="F68" s="16">
        <v>1</v>
      </c>
      <c r="G68" s="16">
        <v>1</v>
      </c>
      <c r="H68" s="22">
        <v>1</v>
      </c>
      <c r="I68" s="22">
        <v>1</v>
      </c>
      <c r="J68" s="112" t="s">
        <v>29</v>
      </c>
    </row>
    <row r="69" spans="1:10" s="3" customFormat="1" ht="45" customHeight="1">
      <c r="A69" s="9" t="s">
        <v>120</v>
      </c>
      <c r="B69" s="73" t="s">
        <v>121</v>
      </c>
      <c r="C69" s="10" t="s">
        <v>23</v>
      </c>
      <c r="D69" s="11">
        <f aca="true" t="shared" si="4" ref="D69:I69">ROUND(D74*1,4)</f>
        <v>1</v>
      </c>
      <c r="E69" s="11">
        <f t="shared" si="4"/>
        <v>1</v>
      </c>
      <c r="F69" s="11">
        <f t="shared" si="4"/>
        <v>1</v>
      </c>
      <c r="G69" s="11">
        <f t="shared" si="4"/>
        <v>1</v>
      </c>
      <c r="H69" s="11">
        <f t="shared" si="4"/>
        <v>1</v>
      </c>
      <c r="I69" s="11">
        <f t="shared" si="4"/>
        <v>1</v>
      </c>
      <c r="J69" s="111" t="s">
        <v>29</v>
      </c>
    </row>
    <row r="70" spans="1:10" s="3" customFormat="1" ht="38.25" customHeight="1">
      <c r="A70" s="12"/>
      <c r="B70" s="73" t="s">
        <v>44</v>
      </c>
      <c r="C70" s="10" t="s">
        <v>7</v>
      </c>
      <c r="D70" s="13">
        <v>16</v>
      </c>
      <c r="E70" s="13">
        <v>16</v>
      </c>
      <c r="F70" s="13">
        <v>16</v>
      </c>
      <c r="G70" s="13">
        <v>16</v>
      </c>
      <c r="H70" s="13">
        <v>16</v>
      </c>
      <c r="I70" s="13">
        <v>16</v>
      </c>
      <c r="J70" s="116" t="s">
        <v>29</v>
      </c>
    </row>
    <row r="71" spans="1:10" s="3" customFormat="1" ht="50.25" customHeight="1">
      <c r="A71" s="21" t="s">
        <v>122</v>
      </c>
      <c r="B71" s="75" t="s">
        <v>123</v>
      </c>
      <c r="C71" s="39" t="s">
        <v>41</v>
      </c>
      <c r="D71" s="40">
        <f>D72</f>
        <v>0</v>
      </c>
      <c r="E71" s="40">
        <f>E72</f>
        <v>0</v>
      </c>
      <c r="F71" s="40">
        <f>F72</f>
        <v>0</v>
      </c>
      <c r="G71" s="40">
        <f>G72</f>
        <v>0</v>
      </c>
      <c r="H71" s="40">
        <f>H72</f>
        <v>0</v>
      </c>
      <c r="I71" s="40"/>
      <c r="J71" s="120" t="s">
        <v>29</v>
      </c>
    </row>
    <row r="72" spans="1:10" s="3" customFormat="1" ht="108" customHeight="1">
      <c r="A72" s="159" t="s">
        <v>124</v>
      </c>
      <c r="B72" s="160"/>
      <c r="C72" s="95" t="s">
        <v>41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96"/>
      <c r="J72" s="121"/>
    </row>
    <row r="73" spans="1:10" s="3" customFormat="1" ht="44.25" customHeight="1">
      <c r="A73" s="169" t="s">
        <v>25</v>
      </c>
      <c r="B73" s="169"/>
      <c r="C73" s="15" t="s">
        <v>7</v>
      </c>
      <c r="D73" s="16">
        <v>100</v>
      </c>
      <c r="E73" s="16">
        <v>100</v>
      </c>
      <c r="F73" s="16">
        <v>100</v>
      </c>
      <c r="G73" s="16">
        <v>100</v>
      </c>
      <c r="H73" s="16">
        <v>100</v>
      </c>
      <c r="I73" s="16">
        <v>100</v>
      </c>
      <c r="J73" s="112" t="s">
        <v>29</v>
      </c>
    </row>
    <row r="74" spans="1:10" s="3" customFormat="1" ht="44.25" customHeight="1">
      <c r="A74" s="169" t="s">
        <v>125</v>
      </c>
      <c r="B74" s="169"/>
      <c r="C74" s="15" t="s">
        <v>23</v>
      </c>
      <c r="D74" s="16">
        <v>1</v>
      </c>
      <c r="E74" s="16">
        <v>1</v>
      </c>
      <c r="F74" s="16">
        <v>1</v>
      </c>
      <c r="G74" s="16">
        <v>1</v>
      </c>
      <c r="H74" s="22">
        <v>1</v>
      </c>
      <c r="I74" s="22">
        <v>1</v>
      </c>
      <c r="J74" s="122" t="s">
        <v>29</v>
      </c>
    </row>
    <row r="75" spans="1:10" s="3" customFormat="1" ht="35.25" customHeight="1">
      <c r="A75" s="9" t="s">
        <v>119</v>
      </c>
      <c r="B75" s="73" t="s">
        <v>126</v>
      </c>
      <c r="C75" s="10" t="s">
        <v>23</v>
      </c>
      <c r="D75" s="11">
        <f aca="true" t="shared" si="5" ref="D75:I75">ROUND(D80*0.25+D84*0.25+D88*0.25+D92*0.25,4)</f>
        <v>1</v>
      </c>
      <c r="E75" s="11">
        <f t="shared" si="5"/>
        <v>1</v>
      </c>
      <c r="F75" s="11">
        <f t="shared" si="5"/>
        <v>0.75</v>
      </c>
      <c r="G75" s="11">
        <f t="shared" si="5"/>
        <v>1</v>
      </c>
      <c r="H75" s="11">
        <f t="shared" si="5"/>
        <v>0.75</v>
      </c>
      <c r="I75" s="11">
        <f t="shared" si="5"/>
        <v>1</v>
      </c>
      <c r="J75" s="111" t="s">
        <v>29</v>
      </c>
    </row>
    <row r="76" spans="1:10" s="3" customFormat="1" ht="38.25" customHeight="1">
      <c r="A76" s="12"/>
      <c r="B76" s="73" t="s">
        <v>44</v>
      </c>
      <c r="C76" s="10" t="s">
        <v>7</v>
      </c>
      <c r="D76" s="13">
        <v>16</v>
      </c>
      <c r="E76" s="13">
        <v>16</v>
      </c>
      <c r="F76" s="13">
        <v>16</v>
      </c>
      <c r="G76" s="13">
        <v>16</v>
      </c>
      <c r="H76" s="13">
        <v>16</v>
      </c>
      <c r="I76" s="13">
        <v>16</v>
      </c>
      <c r="J76" s="116" t="s">
        <v>29</v>
      </c>
    </row>
    <row r="77" spans="1:10" s="3" customFormat="1" ht="44.25" customHeight="1">
      <c r="A77" s="26" t="s">
        <v>127</v>
      </c>
      <c r="B77" s="77" t="s">
        <v>128</v>
      </c>
      <c r="C77" s="25" t="s">
        <v>49</v>
      </c>
      <c r="D77" s="25" t="str">
        <f>D78</f>
        <v>да</v>
      </c>
      <c r="E77" s="16" t="str">
        <f>E78</f>
        <v>да</v>
      </c>
      <c r="F77" s="16" t="str">
        <f>F78</f>
        <v>нет</v>
      </c>
      <c r="G77" s="16" t="str">
        <f>G78</f>
        <v>да</v>
      </c>
      <c r="H77" s="16" t="str">
        <f>H78</f>
        <v>да</v>
      </c>
      <c r="I77" s="16"/>
      <c r="J77" s="120" t="s">
        <v>29</v>
      </c>
    </row>
    <row r="78" spans="1:10" s="3" customFormat="1" ht="170.25" customHeight="1">
      <c r="A78" s="159" t="s">
        <v>160</v>
      </c>
      <c r="B78" s="160"/>
      <c r="C78" s="95" t="s">
        <v>49</v>
      </c>
      <c r="D78" s="95" t="s">
        <v>54</v>
      </c>
      <c r="E78" s="105" t="s">
        <v>54</v>
      </c>
      <c r="F78" s="130" t="s">
        <v>55</v>
      </c>
      <c r="G78" s="105" t="s">
        <v>54</v>
      </c>
      <c r="H78" s="96" t="s">
        <v>54</v>
      </c>
      <c r="I78" s="96"/>
      <c r="J78" s="108" t="s">
        <v>129</v>
      </c>
    </row>
    <row r="79" spans="1:10" s="3" customFormat="1" ht="31.5" customHeight="1">
      <c r="A79" s="169" t="s">
        <v>25</v>
      </c>
      <c r="B79" s="169"/>
      <c r="C79" s="15" t="s">
        <v>7</v>
      </c>
      <c r="D79" s="16">
        <v>25</v>
      </c>
      <c r="E79" s="16">
        <v>25</v>
      </c>
      <c r="F79" s="16">
        <f>E79</f>
        <v>25</v>
      </c>
      <c r="G79" s="16">
        <f>F79</f>
        <v>25</v>
      </c>
      <c r="H79" s="16">
        <f>G79</f>
        <v>25</v>
      </c>
      <c r="I79" s="16">
        <v>25</v>
      </c>
      <c r="J79" s="112" t="s">
        <v>29</v>
      </c>
    </row>
    <row r="80" spans="1:10" s="3" customFormat="1" ht="35.25" customHeight="1">
      <c r="A80" s="169" t="s">
        <v>130</v>
      </c>
      <c r="B80" s="169"/>
      <c r="C80" s="15" t="s">
        <v>23</v>
      </c>
      <c r="D80" s="16">
        <v>1</v>
      </c>
      <c r="E80" s="16">
        <v>1</v>
      </c>
      <c r="F80" s="16">
        <v>0</v>
      </c>
      <c r="G80" s="16">
        <v>1</v>
      </c>
      <c r="H80" s="16">
        <v>1</v>
      </c>
      <c r="I80" s="16">
        <v>1</v>
      </c>
      <c r="J80" s="112" t="s">
        <v>29</v>
      </c>
    </row>
    <row r="81" spans="1:10" s="3" customFormat="1" ht="64.5" customHeight="1">
      <c r="A81" s="26" t="s">
        <v>131</v>
      </c>
      <c r="B81" s="77" t="s">
        <v>133</v>
      </c>
      <c r="C81" s="25" t="s">
        <v>49</v>
      </c>
      <c r="D81" s="25" t="str">
        <f>D82</f>
        <v>нет</v>
      </c>
      <c r="E81" s="16" t="str">
        <f>E82</f>
        <v>нет</v>
      </c>
      <c r="F81" s="16" t="str">
        <f>F82</f>
        <v>нет</v>
      </c>
      <c r="G81" s="16" t="str">
        <f>G82</f>
        <v>нет</v>
      </c>
      <c r="H81" s="16" t="str">
        <f>H82</f>
        <v>нет</v>
      </c>
      <c r="I81" s="16"/>
      <c r="J81" s="120" t="s">
        <v>29</v>
      </c>
    </row>
    <row r="82" spans="1:10" s="3" customFormat="1" ht="111.75" customHeight="1">
      <c r="A82" s="159" t="s">
        <v>161</v>
      </c>
      <c r="B82" s="160"/>
      <c r="C82" s="95" t="s">
        <v>49</v>
      </c>
      <c r="D82" s="95" t="s">
        <v>55</v>
      </c>
      <c r="E82" s="105" t="s">
        <v>55</v>
      </c>
      <c r="F82" s="131" t="s">
        <v>55</v>
      </c>
      <c r="G82" s="105" t="s">
        <v>55</v>
      </c>
      <c r="H82" s="96" t="s">
        <v>55</v>
      </c>
      <c r="I82" s="97"/>
      <c r="J82" s="108" t="s">
        <v>134</v>
      </c>
    </row>
    <row r="83" spans="1:10" s="3" customFormat="1" ht="44.25" customHeight="1">
      <c r="A83" s="169" t="s">
        <v>25</v>
      </c>
      <c r="B83" s="169"/>
      <c r="C83" s="15" t="s">
        <v>7</v>
      </c>
      <c r="D83" s="16">
        <v>25</v>
      </c>
      <c r="E83" s="16">
        <v>25</v>
      </c>
      <c r="F83" s="16">
        <f>E83</f>
        <v>25</v>
      </c>
      <c r="G83" s="16">
        <f>F83</f>
        <v>25</v>
      </c>
      <c r="H83" s="16">
        <f>G83</f>
        <v>25</v>
      </c>
      <c r="I83" s="16">
        <v>25</v>
      </c>
      <c r="J83" s="112" t="s">
        <v>29</v>
      </c>
    </row>
    <row r="84" spans="1:10" s="3" customFormat="1" ht="44.25" customHeight="1">
      <c r="A84" s="169" t="s">
        <v>132</v>
      </c>
      <c r="B84" s="169"/>
      <c r="C84" s="15" t="s">
        <v>23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12" t="s">
        <v>29</v>
      </c>
    </row>
    <row r="85" spans="1:10" s="3" customFormat="1" ht="44.25" customHeight="1">
      <c r="A85" s="26" t="s">
        <v>135</v>
      </c>
      <c r="B85" s="77" t="s">
        <v>136</v>
      </c>
      <c r="C85" s="25" t="s">
        <v>49</v>
      </c>
      <c r="D85" s="16" t="str">
        <f>D86</f>
        <v>да</v>
      </c>
      <c r="E85" s="16" t="str">
        <f>E86</f>
        <v>да</v>
      </c>
      <c r="F85" s="16" t="str">
        <f>F86</f>
        <v>да</v>
      </c>
      <c r="G85" s="16" t="str">
        <f>G86</f>
        <v>да</v>
      </c>
      <c r="H85" s="16" t="str">
        <f>H86</f>
        <v>да</v>
      </c>
      <c r="I85" s="16"/>
      <c r="J85" s="120" t="s">
        <v>29</v>
      </c>
    </row>
    <row r="86" spans="1:10" s="3" customFormat="1" ht="256.5" customHeight="1">
      <c r="A86" s="159" t="s">
        <v>137</v>
      </c>
      <c r="B86" s="160"/>
      <c r="C86" s="95" t="s">
        <v>49</v>
      </c>
      <c r="D86" s="95" t="s">
        <v>54</v>
      </c>
      <c r="E86" s="105" t="s">
        <v>54</v>
      </c>
      <c r="F86" s="105" t="s">
        <v>54</v>
      </c>
      <c r="G86" s="105" t="s">
        <v>54</v>
      </c>
      <c r="H86" s="105" t="s">
        <v>54</v>
      </c>
      <c r="I86" s="97"/>
      <c r="J86" s="108" t="s">
        <v>138</v>
      </c>
    </row>
    <row r="87" spans="1:10" s="3" customFormat="1" ht="37.5" customHeight="1">
      <c r="A87" s="169" t="s">
        <v>25</v>
      </c>
      <c r="B87" s="169"/>
      <c r="C87" s="15" t="s">
        <v>7</v>
      </c>
      <c r="D87" s="16">
        <v>25</v>
      </c>
      <c r="E87" s="16">
        <v>25</v>
      </c>
      <c r="F87" s="16">
        <f>E87</f>
        <v>25</v>
      </c>
      <c r="G87" s="16">
        <f>F87</f>
        <v>25</v>
      </c>
      <c r="H87" s="16">
        <f>G87</f>
        <v>25</v>
      </c>
      <c r="I87" s="16">
        <v>25</v>
      </c>
      <c r="J87" s="112" t="s">
        <v>29</v>
      </c>
    </row>
    <row r="88" spans="1:10" s="3" customFormat="1" ht="37.5" customHeight="1">
      <c r="A88" s="169" t="s">
        <v>144</v>
      </c>
      <c r="B88" s="169"/>
      <c r="C88" s="15" t="s">
        <v>23</v>
      </c>
      <c r="D88" s="16">
        <v>1</v>
      </c>
      <c r="E88" s="16">
        <v>1</v>
      </c>
      <c r="F88" s="16">
        <v>1</v>
      </c>
      <c r="G88" s="16">
        <v>1</v>
      </c>
      <c r="H88" s="16">
        <v>1</v>
      </c>
      <c r="I88" s="16">
        <v>1</v>
      </c>
      <c r="J88" s="112" t="s">
        <v>29</v>
      </c>
    </row>
    <row r="89" spans="1:10" s="3" customFormat="1" ht="52.5" customHeight="1">
      <c r="A89" s="26" t="s">
        <v>139</v>
      </c>
      <c r="B89" s="77" t="s">
        <v>140</v>
      </c>
      <c r="C89" s="25" t="s">
        <v>49</v>
      </c>
      <c r="D89" s="16" t="str">
        <f>D90</f>
        <v>нет</v>
      </c>
      <c r="E89" s="16" t="str">
        <f>E90</f>
        <v>нет</v>
      </c>
      <c r="F89" s="16" t="str">
        <f>F90</f>
        <v>нет</v>
      </c>
      <c r="G89" s="16" t="str">
        <f>G90</f>
        <v>нет</v>
      </c>
      <c r="H89" s="16" t="str">
        <f>H90</f>
        <v>да</v>
      </c>
      <c r="I89" s="16"/>
      <c r="J89" s="120" t="s">
        <v>29</v>
      </c>
    </row>
    <row r="90" spans="1:10" s="3" customFormat="1" ht="123" customHeight="1">
      <c r="A90" s="159" t="s">
        <v>141</v>
      </c>
      <c r="B90" s="160"/>
      <c r="C90" s="95" t="s">
        <v>49</v>
      </c>
      <c r="D90" s="105" t="s">
        <v>55</v>
      </c>
      <c r="E90" s="105" t="s">
        <v>55</v>
      </c>
      <c r="F90" s="105" t="s">
        <v>55</v>
      </c>
      <c r="G90" s="105" t="s">
        <v>55</v>
      </c>
      <c r="H90" s="132" t="s">
        <v>54</v>
      </c>
      <c r="I90" s="97"/>
      <c r="J90" s="108" t="s">
        <v>142</v>
      </c>
    </row>
    <row r="91" spans="1:10" s="3" customFormat="1" ht="44.25" customHeight="1">
      <c r="A91" s="169" t="s">
        <v>25</v>
      </c>
      <c r="B91" s="169"/>
      <c r="C91" s="15" t="s">
        <v>7</v>
      </c>
      <c r="D91" s="16">
        <v>25</v>
      </c>
      <c r="E91" s="16">
        <v>25</v>
      </c>
      <c r="F91" s="16">
        <f>E91</f>
        <v>25</v>
      </c>
      <c r="G91" s="16">
        <f>F91</f>
        <v>25</v>
      </c>
      <c r="H91" s="16">
        <f>G91</f>
        <v>25</v>
      </c>
      <c r="I91" s="16">
        <v>25</v>
      </c>
      <c r="J91" s="112" t="s">
        <v>29</v>
      </c>
    </row>
    <row r="92" spans="1:10" s="3" customFormat="1" ht="44.25" customHeight="1">
      <c r="A92" s="169" t="s">
        <v>143</v>
      </c>
      <c r="B92" s="169"/>
      <c r="C92" s="15" t="s">
        <v>23</v>
      </c>
      <c r="D92" s="16">
        <v>1</v>
      </c>
      <c r="E92" s="16">
        <v>1</v>
      </c>
      <c r="F92" s="16">
        <v>1</v>
      </c>
      <c r="G92" s="16">
        <v>1</v>
      </c>
      <c r="H92" s="16">
        <v>0</v>
      </c>
      <c r="I92" s="16">
        <v>1</v>
      </c>
      <c r="J92" s="112" t="s">
        <v>29</v>
      </c>
    </row>
    <row r="93" spans="1:10" ht="28.5" customHeight="1">
      <c r="A93" s="9" t="s">
        <v>88</v>
      </c>
      <c r="B93" s="73" t="s">
        <v>89</v>
      </c>
      <c r="C93" s="10" t="s">
        <v>23</v>
      </c>
      <c r="D93" s="11">
        <f aca="true" t="shared" si="6" ref="D93:I93">ROUND(D101*0.3+D108*0.3+D116*0.2+D123*0.2,4)</f>
        <v>1</v>
      </c>
      <c r="E93" s="11">
        <f t="shared" si="6"/>
        <v>0.7</v>
      </c>
      <c r="F93" s="11">
        <f>ROUND(F101*0.3+F108*0.3+F116*0.2+F123*0.2,4)</f>
        <v>0.442</v>
      </c>
      <c r="G93" s="11">
        <f t="shared" si="6"/>
        <v>1</v>
      </c>
      <c r="H93" s="11">
        <f t="shared" si="6"/>
        <v>1</v>
      </c>
      <c r="I93" s="11">
        <f t="shared" si="6"/>
        <v>1</v>
      </c>
      <c r="J93" s="111" t="s">
        <v>29</v>
      </c>
    </row>
    <row r="94" spans="1:10" ht="29.25" customHeight="1">
      <c r="A94" s="12"/>
      <c r="B94" s="73" t="s">
        <v>44</v>
      </c>
      <c r="C94" s="10" t="s">
        <v>7</v>
      </c>
      <c r="D94" s="13">
        <v>9</v>
      </c>
      <c r="E94" s="13">
        <v>9</v>
      </c>
      <c r="F94" s="13">
        <f>E94</f>
        <v>9</v>
      </c>
      <c r="G94" s="13">
        <f>F94</f>
        <v>9</v>
      </c>
      <c r="H94" s="13">
        <f>G94</f>
        <v>9</v>
      </c>
      <c r="I94" s="13">
        <v>9</v>
      </c>
      <c r="J94" s="116" t="s">
        <v>29</v>
      </c>
    </row>
    <row r="95" spans="1:10" ht="40.5" customHeight="1">
      <c r="A95" s="21" t="s">
        <v>71</v>
      </c>
      <c r="B95" s="75" t="s">
        <v>73</v>
      </c>
      <c r="C95" s="15" t="s">
        <v>7</v>
      </c>
      <c r="D95" s="17">
        <f>D96</f>
        <v>0</v>
      </c>
      <c r="E95" s="17">
        <f>E96</f>
        <v>42.92</v>
      </c>
      <c r="F95" s="17">
        <f>F96</f>
        <v>93.14</v>
      </c>
      <c r="G95" s="17">
        <f>G96</f>
        <v>0</v>
      </c>
      <c r="H95" s="17">
        <f>H96</f>
        <v>0</v>
      </c>
      <c r="I95" s="17"/>
      <c r="J95" s="134"/>
    </row>
    <row r="96" spans="1:10" ht="55.5" customHeight="1">
      <c r="A96" s="167" t="s">
        <v>74</v>
      </c>
      <c r="B96" s="168"/>
      <c r="C96" s="162" t="s">
        <v>7</v>
      </c>
      <c r="D96" s="152">
        <v>0</v>
      </c>
      <c r="E96" s="162">
        <f>ROUND((100*111/258.6),2)</f>
        <v>42.92</v>
      </c>
      <c r="F96" s="162">
        <f>ROUND((100*1046.01/1123.1),2)</f>
        <v>93.14</v>
      </c>
      <c r="G96" s="152">
        <v>0</v>
      </c>
      <c r="H96" s="152">
        <v>0</v>
      </c>
      <c r="I96" s="152"/>
      <c r="J96" s="135"/>
    </row>
    <row r="97" spans="1:10" ht="36.75" customHeight="1">
      <c r="A97" s="176" t="s">
        <v>75</v>
      </c>
      <c r="B97" s="177"/>
      <c r="C97" s="163"/>
      <c r="D97" s="153"/>
      <c r="E97" s="163"/>
      <c r="F97" s="163"/>
      <c r="G97" s="153"/>
      <c r="H97" s="153"/>
      <c r="I97" s="153"/>
      <c r="J97" s="135"/>
    </row>
    <row r="98" spans="1:10" ht="30" customHeight="1">
      <c r="A98" s="170" t="s">
        <v>76</v>
      </c>
      <c r="B98" s="171"/>
      <c r="C98" s="163"/>
      <c r="D98" s="153"/>
      <c r="E98" s="163"/>
      <c r="F98" s="163"/>
      <c r="G98" s="153"/>
      <c r="H98" s="153"/>
      <c r="I98" s="153"/>
      <c r="J98" s="135"/>
    </row>
    <row r="99" spans="1:10" ht="41.25" customHeight="1">
      <c r="A99" s="165" t="s">
        <v>77</v>
      </c>
      <c r="B99" s="166"/>
      <c r="C99" s="164"/>
      <c r="D99" s="154"/>
      <c r="E99" s="164"/>
      <c r="F99" s="164"/>
      <c r="G99" s="154"/>
      <c r="H99" s="154"/>
      <c r="I99" s="154"/>
      <c r="J99" s="136"/>
    </row>
    <row r="100" spans="1:10" ht="29.25" customHeight="1">
      <c r="A100" s="175" t="s">
        <v>25</v>
      </c>
      <c r="B100" s="175"/>
      <c r="C100" s="15" t="s">
        <v>7</v>
      </c>
      <c r="D100" s="16">
        <v>30</v>
      </c>
      <c r="E100" s="16">
        <v>30</v>
      </c>
      <c r="F100" s="16">
        <v>30</v>
      </c>
      <c r="G100" s="16">
        <v>30</v>
      </c>
      <c r="H100" s="16">
        <v>30</v>
      </c>
      <c r="I100" s="16">
        <v>30</v>
      </c>
      <c r="J100" s="115" t="s">
        <v>29</v>
      </c>
    </row>
    <row r="101" spans="1:10" ht="31.5" customHeight="1">
      <c r="A101" s="169" t="s">
        <v>72</v>
      </c>
      <c r="B101" s="169"/>
      <c r="C101" s="15" t="s">
        <v>23</v>
      </c>
      <c r="D101" s="16">
        <v>1</v>
      </c>
      <c r="E101" s="16">
        <v>1</v>
      </c>
      <c r="F101" s="101">
        <f>ROUND(1-((F96-50))/50,2)</f>
        <v>0.14</v>
      </c>
      <c r="G101" s="16">
        <v>1</v>
      </c>
      <c r="H101" s="16">
        <v>1</v>
      </c>
      <c r="I101" s="16">
        <v>1</v>
      </c>
      <c r="J101" s="115" t="s">
        <v>29</v>
      </c>
    </row>
    <row r="102" spans="1:10" ht="31.5">
      <c r="A102" s="21" t="s">
        <v>78</v>
      </c>
      <c r="B102" s="75" t="s">
        <v>79</v>
      </c>
      <c r="C102" s="15" t="s">
        <v>7</v>
      </c>
      <c r="D102" s="17">
        <f>D103</f>
        <v>0</v>
      </c>
      <c r="E102" s="17">
        <f>E103</f>
        <v>100</v>
      </c>
      <c r="F102" s="17">
        <f>D103</f>
        <v>0</v>
      </c>
      <c r="G102" s="17">
        <f>G103</f>
        <v>0</v>
      </c>
      <c r="H102" s="17">
        <f>H103</f>
        <v>0</v>
      </c>
      <c r="I102" s="17"/>
      <c r="J102" s="134"/>
    </row>
    <row r="103" spans="1:10" ht="28.5" customHeight="1">
      <c r="A103" s="185" t="s">
        <v>83</v>
      </c>
      <c r="B103" s="186"/>
      <c r="C103" s="162" t="s">
        <v>7</v>
      </c>
      <c r="D103" s="152">
        <v>0</v>
      </c>
      <c r="E103" s="162">
        <f>ROUND((100*3)/3,2)</f>
        <v>100</v>
      </c>
      <c r="F103" s="162">
        <f>ROUND((100*2)/2,2)</f>
        <v>100</v>
      </c>
      <c r="G103" s="152">
        <v>0</v>
      </c>
      <c r="H103" s="152">
        <v>0</v>
      </c>
      <c r="I103" s="152"/>
      <c r="J103" s="135"/>
    </row>
    <row r="104" spans="1:10" ht="51" customHeight="1">
      <c r="A104" s="170" t="s">
        <v>81</v>
      </c>
      <c r="B104" s="171"/>
      <c r="C104" s="163"/>
      <c r="D104" s="153"/>
      <c r="E104" s="163"/>
      <c r="F104" s="163"/>
      <c r="G104" s="153"/>
      <c r="H104" s="153"/>
      <c r="I104" s="153"/>
      <c r="J104" s="135"/>
    </row>
    <row r="105" spans="1:10" ht="30.75" customHeight="1">
      <c r="A105" s="170" t="s">
        <v>82</v>
      </c>
      <c r="B105" s="171"/>
      <c r="C105" s="163"/>
      <c r="D105" s="153"/>
      <c r="E105" s="163"/>
      <c r="F105" s="163"/>
      <c r="G105" s="153"/>
      <c r="H105" s="153"/>
      <c r="I105" s="153"/>
      <c r="J105" s="135"/>
    </row>
    <row r="106" spans="1:10" ht="30" customHeight="1">
      <c r="A106" s="165" t="s">
        <v>84</v>
      </c>
      <c r="B106" s="166"/>
      <c r="C106" s="164"/>
      <c r="D106" s="154"/>
      <c r="E106" s="164"/>
      <c r="F106" s="164"/>
      <c r="G106" s="154"/>
      <c r="H106" s="154"/>
      <c r="I106" s="154"/>
      <c r="J106" s="136"/>
    </row>
    <row r="107" spans="1:10" ht="27" customHeight="1">
      <c r="A107" s="175" t="s">
        <v>25</v>
      </c>
      <c r="B107" s="175"/>
      <c r="C107" s="15" t="s">
        <v>7</v>
      </c>
      <c r="D107" s="16">
        <v>30</v>
      </c>
      <c r="E107" s="16">
        <v>30</v>
      </c>
      <c r="F107" s="16">
        <v>30</v>
      </c>
      <c r="G107" s="16">
        <v>30</v>
      </c>
      <c r="H107" s="16">
        <v>30</v>
      </c>
      <c r="I107" s="16">
        <v>30</v>
      </c>
      <c r="J107" s="115" t="s">
        <v>29</v>
      </c>
    </row>
    <row r="108" spans="1:10" ht="27" customHeight="1">
      <c r="A108" s="169" t="s">
        <v>80</v>
      </c>
      <c r="B108" s="169"/>
      <c r="C108" s="15" t="s">
        <v>23</v>
      </c>
      <c r="D108" s="16">
        <v>1</v>
      </c>
      <c r="E108" s="16">
        <f>1-((E103-50)/50)</f>
        <v>0</v>
      </c>
      <c r="F108" s="16">
        <f>1-((F103-50)/50)</f>
        <v>0</v>
      </c>
      <c r="G108" s="16">
        <v>1</v>
      </c>
      <c r="H108" s="16">
        <v>1</v>
      </c>
      <c r="I108" s="16">
        <v>1</v>
      </c>
      <c r="J108" s="123" t="s">
        <v>29</v>
      </c>
    </row>
    <row r="109" spans="1:10" ht="31.5">
      <c r="A109" s="19" t="s">
        <v>85</v>
      </c>
      <c r="B109" s="74" t="s">
        <v>90</v>
      </c>
      <c r="C109" s="15" t="s">
        <v>7</v>
      </c>
      <c r="D109" s="16">
        <f>D110</f>
        <v>0</v>
      </c>
      <c r="E109" s="16">
        <f>E110</f>
        <v>0</v>
      </c>
      <c r="F109" s="16">
        <f>F110</f>
        <v>0</v>
      </c>
      <c r="G109" s="16">
        <f>G110</f>
        <v>0</v>
      </c>
      <c r="H109" s="16">
        <f>H110</f>
        <v>0</v>
      </c>
      <c r="I109" s="16"/>
      <c r="J109" s="184"/>
    </row>
    <row r="110" spans="1:10" ht="45" customHeight="1">
      <c r="A110" s="170" t="s">
        <v>92</v>
      </c>
      <c r="B110" s="171"/>
      <c r="C110" s="161" t="s">
        <v>7</v>
      </c>
      <c r="D110" s="161">
        <v>0</v>
      </c>
      <c r="E110" s="161">
        <v>0</v>
      </c>
      <c r="F110" s="155">
        <v>0</v>
      </c>
      <c r="G110" s="178">
        <v>0</v>
      </c>
      <c r="H110" s="155">
        <v>0</v>
      </c>
      <c r="I110" s="155"/>
      <c r="J110" s="184"/>
    </row>
    <row r="111" spans="1:10" ht="30" customHeight="1">
      <c r="A111" s="170" t="s">
        <v>93</v>
      </c>
      <c r="B111" s="171"/>
      <c r="C111" s="161"/>
      <c r="D111" s="161"/>
      <c r="E111" s="161"/>
      <c r="F111" s="155"/>
      <c r="G111" s="179"/>
      <c r="H111" s="155"/>
      <c r="I111" s="155"/>
      <c r="J111" s="184"/>
    </row>
    <row r="112" spans="1:10" ht="54" customHeight="1">
      <c r="A112" s="170" t="s">
        <v>94</v>
      </c>
      <c r="B112" s="171"/>
      <c r="C112" s="161"/>
      <c r="D112" s="161"/>
      <c r="E112" s="161"/>
      <c r="F112" s="155"/>
      <c r="G112" s="179"/>
      <c r="H112" s="155"/>
      <c r="I112" s="155"/>
      <c r="J112" s="184"/>
    </row>
    <row r="113" spans="1:10" ht="57" customHeight="1">
      <c r="A113" s="170" t="s">
        <v>95</v>
      </c>
      <c r="B113" s="171"/>
      <c r="C113" s="161"/>
      <c r="D113" s="161"/>
      <c r="E113" s="161"/>
      <c r="F113" s="155"/>
      <c r="G113" s="179"/>
      <c r="H113" s="155"/>
      <c r="I113" s="155"/>
      <c r="J113" s="184"/>
    </row>
    <row r="114" spans="1:10" ht="55.5" customHeight="1">
      <c r="A114" s="165" t="s">
        <v>96</v>
      </c>
      <c r="B114" s="166"/>
      <c r="C114" s="161"/>
      <c r="D114" s="161"/>
      <c r="E114" s="161"/>
      <c r="F114" s="155"/>
      <c r="G114" s="180"/>
      <c r="H114" s="155"/>
      <c r="I114" s="155"/>
      <c r="J114" s="184"/>
    </row>
    <row r="115" spans="1:10" ht="33" customHeight="1">
      <c r="A115" s="175" t="s">
        <v>25</v>
      </c>
      <c r="B115" s="175"/>
      <c r="C115" s="27" t="s">
        <v>7</v>
      </c>
      <c r="D115" s="28">
        <v>20</v>
      </c>
      <c r="E115" s="28">
        <v>20</v>
      </c>
      <c r="F115" s="28">
        <v>20</v>
      </c>
      <c r="G115" s="28">
        <v>20</v>
      </c>
      <c r="H115" s="28">
        <v>20</v>
      </c>
      <c r="I115" s="28">
        <v>20</v>
      </c>
      <c r="J115" s="117" t="s">
        <v>29</v>
      </c>
    </row>
    <row r="116" spans="1:10" ht="27" customHeight="1">
      <c r="A116" s="169" t="s">
        <v>86</v>
      </c>
      <c r="B116" s="169"/>
      <c r="C116" s="15" t="s">
        <v>23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15" t="s">
        <v>29</v>
      </c>
    </row>
    <row r="117" spans="1:10" ht="47.25">
      <c r="A117" s="21" t="s">
        <v>145</v>
      </c>
      <c r="B117" s="75" t="s">
        <v>91</v>
      </c>
      <c r="C117" s="15" t="s">
        <v>7</v>
      </c>
      <c r="D117" s="17">
        <f>D118</f>
        <v>0</v>
      </c>
      <c r="E117" s="17">
        <f>E118</f>
        <v>0</v>
      </c>
      <c r="F117" s="17">
        <f>F118</f>
        <v>0</v>
      </c>
      <c r="G117" s="17">
        <f>G118</f>
        <v>0</v>
      </c>
      <c r="H117" s="17">
        <f>H118</f>
        <v>0</v>
      </c>
      <c r="I117" s="17"/>
      <c r="J117" s="142"/>
    </row>
    <row r="118" spans="1:10" ht="50.25" customHeight="1">
      <c r="A118" s="176" t="s">
        <v>98</v>
      </c>
      <c r="B118" s="177"/>
      <c r="C118" s="162" t="s">
        <v>7</v>
      </c>
      <c r="D118" s="152">
        <v>0</v>
      </c>
      <c r="E118" s="162">
        <v>0</v>
      </c>
      <c r="F118" s="152">
        <v>0</v>
      </c>
      <c r="G118" s="152">
        <v>0</v>
      </c>
      <c r="H118" s="152">
        <v>0</v>
      </c>
      <c r="I118" s="156"/>
      <c r="J118" s="142"/>
    </row>
    <row r="119" spans="1:10" ht="56.25" customHeight="1">
      <c r="A119" s="170" t="s">
        <v>97</v>
      </c>
      <c r="B119" s="171"/>
      <c r="C119" s="163"/>
      <c r="D119" s="153"/>
      <c r="E119" s="163"/>
      <c r="F119" s="153"/>
      <c r="G119" s="153"/>
      <c r="H119" s="153"/>
      <c r="I119" s="157"/>
      <c r="J119" s="142"/>
    </row>
    <row r="120" spans="1:10" ht="43.5" customHeight="1">
      <c r="A120" s="170" t="s">
        <v>99</v>
      </c>
      <c r="B120" s="171"/>
      <c r="C120" s="163"/>
      <c r="D120" s="153"/>
      <c r="E120" s="163"/>
      <c r="F120" s="153"/>
      <c r="G120" s="153"/>
      <c r="H120" s="153"/>
      <c r="I120" s="157"/>
      <c r="J120" s="142"/>
    </row>
    <row r="121" spans="1:10" ht="55.5" customHeight="1">
      <c r="A121" s="165" t="s">
        <v>100</v>
      </c>
      <c r="B121" s="166"/>
      <c r="C121" s="164"/>
      <c r="D121" s="154"/>
      <c r="E121" s="164"/>
      <c r="F121" s="154"/>
      <c r="G121" s="154"/>
      <c r="H121" s="154"/>
      <c r="I121" s="158"/>
      <c r="J121" s="142"/>
    </row>
    <row r="122" spans="1:10" ht="30" customHeight="1">
      <c r="A122" s="175" t="s">
        <v>25</v>
      </c>
      <c r="B122" s="175"/>
      <c r="C122" s="15" t="s">
        <v>7</v>
      </c>
      <c r="D122" s="16">
        <v>20</v>
      </c>
      <c r="E122" s="16">
        <v>20</v>
      </c>
      <c r="F122" s="16">
        <v>20</v>
      </c>
      <c r="G122" s="16">
        <v>20</v>
      </c>
      <c r="H122" s="16">
        <v>20</v>
      </c>
      <c r="I122" s="16">
        <v>20</v>
      </c>
      <c r="J122" s="115" t="s">
        <v>29</v>
      </c>
    </row>
    <row r="123" spans="1:10" ht="32.25" customHeight="1">
      <c r="A123" s="169" t="s">
        <v>87</v>
      </c>
      <c r="B123" s="169"/>
      <c r="C123" s="15" t="s">
        <v>23</v>
      </c>
      <c r="D123" s="16">
        <v>1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15" t="s">
        <v>29</v>
      </c>
    </row>
    <row r="124" spans="1:10" ht="49.5" customHeight="1">
      <c r="A124" s="181" t="s">
        <v>102</v>
      </c>
      <c r="B124" s="182"/>
      <c r="C124" s="29" t="s">
        <v>101</v>
      </c>
      <c r="D124" s="30">
        <f>ROUND(D5*0.25+D33*0.25+D53*0.09+D69*0.16+D75*0.16+D93*0.09,2)</f>
        <v>1.75</v>
      </c>
      <c r="E124" s="30">
        <f>ROUND(E5*0.25+E33*0.25+E53*0.09+E69*0.16+E75*0.16+E93*0.09,2)</f>
        <v>1.64</v>
      </c>
      <c r="F124" s="30">
        <f>ROUND(F5*0.25+F33*0.25+F53*0.09+F69*0.16+F75*0.16+F93*0.09,2)</f>
        <v>1.6</v>
      </c>
      <c r="G124" s="29">
        <f>ROUND(G5*0.25+G33*0.25+G53*0.09+G69*0.16+G75*0.16+G93*0.09,4)</f>
        <v>1.8125</v>
      </c>
      <c r="H124" s="29">
        <f>ROUND(H5*0.25+H33*0.25+H53*0.09+H69*0.16+H75*0.16+H93*0.09,4)</f>
        <v>1.6375</v>
      </c>
      <c r="I124" s="30">
        <f>ROUND(I5*0.25+I33*0.25+I53*0.09+I69*0.16+I75*0.16+I93*0.09,1)</f>
        <v>1.9</v>
      </c>
      <c r="J124" s="124" t="s">
        <v>29</v>
      </c>
    </row>
    <row r="125" spans="1:10" ht="40.5" customHeight="1">
      <c r="A125" s="181" t="s">
        <v>162</v>
      </c>
      <c r="B125" s="182"/>
      <c r="C125" s="29" t="s">
        <v>101</v>
      </c>
      <c r="D125" s="30">
        <f>I124</f>
        <v>1.9</v>
      </c>
      <c r="E125" s="30">
        <f>I124</f>
        <v>1.9</v>
      </c>
      <c r="F125" s="30">
        <f>I124</f>
        <v>1.9</v>
      </c>
      <c r="G125" s="30">
        <f>I124</f>
        <v>1.9</v>
      </c>
      <c r="H125" s="30">
        <f>I124</f>
        <v>1.9</v>
      </c>
      <c r="I125" s="30">
        <f>I124</f>
        <v>1.9</v>
      </c>
      <c r="J125" s="124" t="s">
        <v>29</v>
      </c>
    </row>
    <row r="126" spans="1:10" ht="48.75" customHeight="1">
      <c r="A126" s="181" t="s">
        <v>102</v>
      </c>
      <c r="B126" s="182"/>
      <c r="C126" s="31" t="s">
        <v>7</v>
      </c>
      <c r="D126" s="60">
        <f aca="true" t="shared" si="7" ref="D126:I126">ROUND(D124/D125*100,2)</f>
        <v>92.11</v>
      </c>
      <c r="E126" s="60">
        <f>ROUND(E124/E125*100,2)</f>
        <v>86.32</v>
      </c>
      <c r="F126" s="60">
        <f t="shared" si="7"/>
        <v>84.21</v>
      </c>
      <c r="G126" s="60">
        <f t="shared" si="7"/>
        <v>95.39</v>
      </c>
      <c r="H126" s="60">
        <f t="shared" si="7"/>
        <v>86.18</v>
      </c>
      <c r="I126" s="60">
        <f t="shared" si="7"/>
        <v>100</v>
      </c>
      <c r="J126" s="124" t="s">
        <v>29</v>
      </c>
    </row>
    <row r="128" spans="5:9" ht="51.75" customHeight="1">
      <c r="E128" s="34"/>
      <c r="F128" s="34"/>
      <c r="G128" s="34"/>
      <c r="H128" s="34"/>
      <c r="I128" s="34"/>
    </row>
  </sheetData>
  <sheetProtection/>
  <mergeCells count="154">
    <mergeCell ref="H18:H19"/>
    <mergeCell ref="E56:E57"/>
    <mergeCell ref="G56:G57"/>
    <mergeCell ref="A15:B15"/>
    <mergeCell ref="A20:B20"/>
    <mergeCell ref="A21:B21"/>
    <mergeCell ref="A19:B19"/>
    <mergeCell ref="A18:B18"/>
    <mergeCell ref="F18:F19"/>
    <mergeCell ref="G18:G19"/>
    <mergeCell ref="D61:D62"/>
    <mergeCell ref="D18:D19"/>
    <mergeCell ref="J17:J22"/>
    <mergeCell ref="A22:B22"/>
    <mergeCell ref="J25:J26"/>
    <mergeCell ref="A16:B16"/>
    <mergeCell ref="A27:B27"/>
    <mergeCell ref="A28:B28"/>
    <mergeCell ref="I17:I22"/>
    <mergeCell ref="E18:E19"/>
    <mergeCell ref="J29:J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A47:B47"/>
    <mergeCell ref="A51:B51"/>
    <mergeCell ref="A52:B52"/>
    <mergeCell ref="A50:B50"/>
    <mergeCell ref="A39:B39"/>
    <mergeCell ref="A49:B49"/>
    <mergeCell ref="A63:B63"/>
    <mergeCell ref="A57:B57"/>
    <mergeCell ref="A62:B62"/>
    <mergeCell ref="A58:B58"/>
    <mergeCell ref="A64:B64"/>
    <mergeCell ref="A74:B74"/>
    <mergeCell ref="A68:B68"/>
    <mergeCell ref="A67:B67"/>
    <mergeCell ref="H110:H114"/>
    <mergeCell ref="J117:J121"/>
    <mergeCell ref="A118:B118"/>
    <mergeCell ref="C118:C121"/>
    <mergeCell ref="E118:E121"/>
    <mergeCell ref="F118:F121"/>
    <mergeCell ref="G118:G121"/>
    <mergeCell ref="H118:H121"/>
    <mergeCell ref="A119:B119"/>
    <mergeCell ref="A115:B115"/>
    <mergeCell ref="A126:B126"/>
    <mergeCell ref="A1:J1"/>
    <mergeCell ref="A2:J2"/>
    <mergeCell ref="A114:B114"/>
    <mergeCell ref="J109:J114"/>
    <mergeCell ref="C110:C114"/>
    <mergeCell ref="E110:E114"/>
    <mergeCell ref="F110:F114"/>
    <mergeCell ref="A124:B124"/>
    <mergeCell ref="A103:B103"/>
    <mergeCell ref="E103:E106"/>
    <mergeCell ref="A125:B125"/>
    <mergeCell ref="A120:B120"/>
    <mergeCell ref="A121:B121"/>
    <mergeCell ref="A122:B122"/>
    <mergeCell ref="A123:B123"/>
    <mergeCell ref="A112:B112"/>
    <mergeCell ref="A116:B116"/>
    <mergeCell ref="G110:G114"/>
    <mergeCell ref="A106:B106"/>
    <mergeCell ref="A104:B104"/>
    <mergeCell ref="A110:B110"/>
    <mergeCell ref="A108:B108"/>
    <mergeCell ref="A105:B105"/>
    <mergeCell ref="A107:B107"/>
    <mergeCell ref="A113:B113"/>
    <mergeCell ref="A111:B111"/>
    <mergeCell ref="C103:C106"/>
    <mergeCell ref="F96:F99"/>
    <mergeCell ref="G96:G99"/>
    <mergeCell ref="I96:I99"/>
    <mergeCell ref="A66:B66"/>
    <mergeCell ref="A78:B78"/>
    <mergeCell ref="D103:D106"/>
    <mergeCell ref="E96:E99"/>
    <mergeCell ref="A100:B100"/>
    <mergeCell ref="A101:B101"/>
    <mergeCell ref="A97:B97"/>
    <mergeCell ref="J102:J106"/>
    <mergeCell ref="G103:G106"/>
    <mergeCell ref="H103:H106"/>
    <mergeCell ref="C96:C99"/>
    <mergeCell ref="A61:B61"/>
    <mergeCell ref="C56:C57"/>
    <mergeCell ref="C61:C62"/>
    <mergeCell ref="A56:B56"/>
    <mergeCell ref="A73:B73"/>
    <mergeCell ref="H56:H57"/>
    <mergeCell ref="A82:B82"/>
    <mergeCell ref="A83:B83"/>
    <mergeCell ref="A84:B84"/>
    <mergeCell ref="A79:B79"/>
    <mergeCell ref="A98:B98"/>
    <mergeCell ref="J44:J45"/>
    <mergeCell ref="F56:F57"/>
    <mergeCell ref="J48:J49"/>
    <mergeCell ref="G61:G62"/>
    <mergeCell ref="A59:B59"/>
    <mergeCell ref="A99:B99"/>
    <mergeCell ref="A96:B96"/>
    <mergeCell ref="E61:E62"/>
    <mergeCell ref="A91:B91"/>
    <mergeCell ref="A92:B92"/>
    <mergeCell ref="A87:B87"/>
    <mergeCell ref="A88:B88"/>
    <mergeCell ref="A90:B90"/>
    <mergeCell ref="A72:B72"/>
    <mergeCell ref="A80:B80"/>
    <mergeCell ref="I103:I106"/>
    <mergeCell ref="I110:I114"/>
    <mergeCell ref="I118:I121"/>
    <mergeCell ref="H96:H99"/>
    <mergeCell ref="A86:B86"/>
    <mergeCell ref="D56:D57"/>
    <mergeCell ref="D110:D114"/>
    <mergeCell ref="D96:D99"/>
    <mergeCell ref="D118:D121"/>
    <mergeCell ref="F103:F106"/>
    <mergeCell ref="J55:J57"/>
    <mergeCell ref="J7:J14"/>
    <mergeCell ref="I56:I57"/>
    <mergeCell ref="J36:J37"/>
    <mergeCell ref="J95:J99"/>
    <mergeCell ref="F61:F62"/>
    <mergeCell ref="I7:I14"/>
    <mergeCell ref="H61:H62"/>
    <mergeCell ref="I61:I62"/>
    <mergeCell ref="J40:J41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3" manualBreakCount="3">
    <brk id="43" max="8" man="1"/>
    <brk id="74" max="255" man="1"/>
    <brk id="116" max="255" man="1"/>
  </rowBreaks>
  <colBreaks count="1" manualBreakCount="1">
    <brk id="10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zoomScale="78" zoomScaleNormal="78" zoomScalePageLayoutView="0" workbookViewId="0" topLeftCell="A1">
      <pane ySplit="3" topLeftCell="A28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46.00390625" style="0" customWidth="1"/>
    <col min="2" max="2" width="23.8515625" style="0" customWidth="1"/>
    <col min="3" max="3" width="23.28125" style="49" customWidth="1"/>
    <col min="4" max="5" width="24.28125" style="49" customWidth="1"/>
    <col min="6" max="6" width="25.00390625" style="49" customWidth="1"/>
    <col min="7" max="7" width="25.140625" style="0" customWidth="1"/>
  </cols>
  <sheetData>
    <row r="3" spans="1:6" ht="114.75" customHeight="1">
      <c r="A3" s="35" t="s">
        <v>149</v>
      </c>
      <c r="B3" s="36" t="s">
        <v>176</v>
      </c>
      <c r="C3" s="36" t="s">
        <v>171</v>
      </c>
      <c r="D3" s="36" t="s">
        <v>170</v>
      </c>
      <c r="E3" s="36" t="s">
        <v>172</v>
      </c>
      <c r="F3" s="36" t="s">
        <v>173</v>
      </c>
    </row>
    <row r="4" spans="1:6" ht="70.5" customHeight="1">
      <c r="A4" s="61" t="s">
        <v>26</v>
      </c>
      <c r="B4" s="62">
        <f>SUM(B5:B16)</f>
        <v>0</v>
      </c>
      <c r="C4" s="62">
        <f>SUM(C5:C16)</f>
        <v>48420730.993</v>
      </c>
      <c r="D4" s="62">
        <f>SUM(D5:D16)</f>
        <v>0</v>
      </c>
      <c r="E4" s="62">
        <f>SUM(E5:E16)</f>
        <v>16270304.3</v>
      </c>
      <c r="F4" s="62">
        <f>SUM(F5:F16)</f>
        <v>15337272.69</v>
      </c>
    </row>
    <row r="5" spans="1:6" s="2" customFormat="1" ht="120.75" customHeight="1">
      <c r="A5" s="37" t="s">
        <v>151</v>
      </c>
      <c r="B5" s="37"/>
      <c r="C5" s="41"/>
      <c r="D5" s="41"/>
      <c r="E5" s="42">
        <v>6019993.43</v>
      </c>
      <c r="F5" s="41"/>
    </row>
    <row r="6" spans="1:6" s="2" customFormat="1" ht="102" customHeight="1">
      <c r="A6" s="37" t="s">
        <v>152</v>
      </c>
      <c r="B6" s="37"/>
      <c r="C6" s="41"/>
      <c r="D6" s="41"/>
      <c r="E6" s="43">
        <f>64013+2074629.61</f>
        <v>2138642.6100000003</v>
      </c>
      <c r="F6" s="44"/>
    </row>
    <row r="7" spans="1:6" s="2" customFormat="1" ht="73.5" customHeight="1">
      <c r="A7" s="37" t="s">
        <v>156</v>
      </c>
      <c r="B7" s="37"/>
      <c r="C7" s="41"/>
      <c r="D7" s="41"/>
      <c r="E7" s="45">
        <f>56375.94+78157.52+7535265.83+96095.26</f>
        <v>7765894.55</v>
      </c>
      <c r="F7" s="45">
        <f>1684148.08+1611136.28+2177865.91+397778.47+158869.92+4895720.58</f>
        <v>10925519.24</v>
      </c>
    </row>
    <row r="8" spans="1:6" s="2" customFormat="1" ht="75.75" customHeight="1">
      <c r="A8" s="37" t="s">
        <v>153</v>
      </c>
      <c r="B8" s="37"/>
      <c r="C8" s="45">
        <v>4150.87</v>
      </c>
      <c r="D8" s="44"/>
      <c r="E8" s="44"/>
      <c r="F8" s="44"/>
    </row>
    <row r="9" spans="1:6" s="2" customFormat="1" ht="56.25" customHeight="1">
      <c r="A9" s="37" t="s">
        <v>154</v>
      </c>
      <c r="B9" s="37"/>
      <c r="C9" s="44"/>
      <c r="D9" s="44"/>
      <c r="E9" s="44"/>
      <c r="F9" s="43"/>
    </row>
    <row r="10" spans="1:6" s="2" customFormat="1" ht="83.25" customHeight="1">
      <c r="A10" s="37" t="s">
        <v>155</v>
      </c>
      <c r="B10" s="37"/>
      <c r="C10" s="46"/>
      <c r="D10" s="47"/>
      <c r="E10" s="48"/>
      <c r="F10" s="48"/>
    </row>
    <row r="11" spans="1:6" s="2" customFormat="1" ht="87" customHeight="1">
      <c r="A11" s="37" t="s">
        <v>175</v>
      </c>
      <c r="B11" s="37"/>
      <c r="C11" s="45">
        <v>19305580.123</v>
      </c>
      <c r="D11" s="47"/>
      <c r="E11" s="44"/>
      <c r="F11" s="44"/>
    </row>
    <row r="12" spans="1:6" s="2" customFormat="1" ht="87" customHeight="1">
      <c r="A12" s="37" t="s">
        <v>164</v>
      </c>
      <c r="B12" s="37"/>
      <c r="C12" s="45">
        <f>22503000</f>
        <v>22503000</v>
      </c>
      <c r="D12" s="47"/>
      <c r="E12" s="44"/>
      <c r="F12" s="44"/>
    </row>
    <row r="13" spans="1:6" s="2" customFormat="1" ht="66" customHeight="1">
      <c r="A13" s="37" t="s">
        <v>154</v>
      </c>
      <c r="B13" s="37"/>
      <c r="C13" s="45"/>
      <c r="D13" s="47"/>
      <c r="E13" s="45">
        <v>345773.71</v>
      </c>
      <c r="F13" s="44"/>
    </row>
    <row r="14" spans="1:6" s="2" customFormat="1" ht="87" customHeight="1">
      <c r="A14" s="37" t="s">
        <v>165</v>
      </c>
      <c r="B14" s="37"/>
      <c r="C14" s="45"/>
      <c r="D14" s="47"/>
      <c r="E14" s="45"/>
      <c r="F14" s="45">
        <v>3990000</v>
      </c>
    </row>
    <row r="15" spans="1:6" s="2" customFormat="1" ht="84.75" customHeight="1">
      <c r="A15" s="37" t="s">
        <v>159</v>
      </c>
      <c r="B15" s="37"/>
      <c r="C15" s="45"/>
      <c r="D15" s="47"/>
      <c r="E15" s="45"/>
      <c r="F15" s="45">
        <v>421753.45</v>
      </c>
    </row>
    <row r="16" spans="1:6" s="2" customFormat="1" ht="49.5">
      <c r="A16" s="37" t="s">
        <v>157</v>
      </c>
      <c r="B16" s="37"/>
      <c r="C16" s="45">
        <f>2202666.67+4405333.33</f>
        <v>6608000</v>
      </c>
      <c r="D16" s="47"/>
      <c r="E16" s="44"/>
      <c r="F16" s="44"/>
    </row>
    <row r="17" spans="1:6" s="2" customFormat="1" ht="63">
      <c r="A17" s="63" t="s">
        <v>27</v>
      </c>
      <c r="B17" s="62">
        <f>SUM(B18:B29)</f>
        <v>0</v>
      </c>
      <c r="C17" s="64">
        <f>SUM(C18:C31)</f>
        <v>43368839.8</v>
      </c>
      <c r="D17" s="64">
        <f>SUM(D18:D31)</f>
        <v>0</v>
      </c>
      <c r="E17" s="64">
        <f>SUM(E18:E31)</f>
        <v>28536627.3</v>
      </c>
      <c r="F17" s="64">
        <f>SUM(F18:F31)</f>
        <v>34804040.69</v>
      </c>
    </row>
    <row r="18" spans="1:6" s="2" customFormat="1" ht="115.5">
      <c r="A18" s="37" t="s">
        <v>151</v>
      </c>
      <c r="B18" s="37"/>
      <c r="C18" s="41"/>
      <c r="D18" s="41"/>
      <c r="E18" s="103">
        <v>6019993.43</v>
      </c>
      <c r="F18" s="41"/>
    </row>
    <row r="19" spans="1:6" s="2" customFormat="1" ht="82.5">
      <c r="A19" s="37" t="s">
        <v>152</v>
      </c>
      <c r="B19" s="37"/>
      <c r="C19" s="65"/>
      <c r="D19" s="65"/>
      <c r="E19" s="103">
        <f>64013+2074629.61</f>
        <v>2138642.6100000003</v>
      </c>
      <c r="F19" s="65"/>
    </row>
    <row r="20" spans="1:7" s="2" customFormat="1" ht="81" customHeight="1">
      <c r="A20" s="37" t="s">
        <v>156</v>
      </c>
      <c r="B20" s="37"/>
      <c r="C20" s="67">
        <v>501482</v>
      </c>
      <c r="D20" s="67"/>
      <c r="E20" s="67">
        <v>20032217.55</v>
      </c>
      <c r="F20" s="67">
        <v>30708065.91</v>
      </c>
      <c r="G20" s="102"/>
    </row>
    <row r="21" spans="1:6" s="2" customFormat="1" ht="72.75" customHeight="1">
      <c r="A21" s="37" t="s">
        <v>153</v>
      </c>
      <c r="B21" s="37"/>
      <c r="C21" s="67">
        <v>4150.87</v>
      </c>
      <c r="D21" s="68"/>
      <c r="E21" s="68"/>
      <c r="F21" s="68"/>
    </row>
    <row r="22" spans="1:6" s="2" customFormat="1" ht="67.5" customHeight="1">
      <c r="A22" s="37" t="s">
        <v>157</v>
      </c>
      <c r="B22" s="37"/>
      <c r="C22" s="67">
        <f>2202296.67+4405333.33</f>
        <v>6607630</v>
      </c>
      <c r="D22" s="66"/>
      <c r="E22" s="68"/>
      <c r="F22" s="69"/>
    </row>
    <row r="23" spans="1:6" s="2" customFormat="1" ht="51" customHeight="1">
      <c r="A23" s="37" t="s">
        <v>166</v>
      </c>
      <c r="B23" s="37"/>
      <c r="C23" s="67">
        <v>1133412</v>
      </c>
      <c r="D23" s="66"/>
      <c r="E23" s="68"/>
      <c r="F23" s="69"/>
    </row>
    <row r="24" spans="1:6" s="2" customFormat="1" ht="123.75" customHeight="1">
      <c r="A24" s="37" t="s">
        <v>167</v>
      </c>
      <c r="B24" s="37"/>
      <c r="C24" s="67">
        <v>2811800</v>
      </c>
      <c r="D24" s="66"/>
      <c r="E24" s="68"/>
      <c r="F24" s="69"/>
    </row>
    <row r="25" spans="1:6" s="2" customFormat="1" ht="63" customHeight="1">
      <c r="A25" s="37" t="s">
        <v>168</v>
      </c>
      <c r="B25" s="37"/>
      <c r="C25" s="67">
        <v>987366.25</v>
      </c>
      <c r="D25" s="66"/>
      <c r="E25" s="68"/>
      <c r="F25" s="69"/>
    </row>
    <row r="26" spans="1:6" s="2" customFormat="1" ht="92.25" customHeight="1">
      <c r="A26" s="37" t="s">
        <v>158</v>
      </c>
      <c r="B26" s="37"/>
      <c r="C26" s="67">
        <v>10000000</v>
      </c>
      <c r="D26" s="66"/>
      <c r="E26" s="70"/>
      <c r="F26" s="70"/>
    </row>
    <row r="27" spans="1:6" ht="81" customHeight="1">
      <c r="A27" s="37" t="s">
        <v>159</v>
      </c>
      <c r="B27" s="37"/>
      <c r="C27" s="67"/>
      <c r="D27" s="66"/>
      <c r="E27" s="67"/>
      <c r="F27" s="67">
        <v>421753.45</v>
      </c>
    </row>
    <row r="28" spans="1:6" ht="82.5">
      <c r="A28" s="37" t="s">
        <v>174</v>
      </c>
      <c r="B28" s="37"/>
      <c r="C28" s="67">
        <v>21322998.68</v>
      </c>
      <c r="D28" s="66"/>
      <c r="E28" s="65"/>
      <c r="F28" s="65"/>
    </row>
    <row r="29" spans="1:6" ht="53.25" customHeight="1">
      <c r="A29" s="37" t="s">
        <v>154</v>
      </c>
      <c r="B29" s="37"/>
      <c r="C29" s="67"/>
      <c r="D29" s="66"/>
      <c r="E29" s="67">
        <v>345773.71</v>
      </c>
      <c r="F29" s="65"/>
    </row>
    <row r="30" spans="1:6" ht="100.5" customHeight="1">
      <c r="A30" s="37" t="s">
        <v>165</v>
      </c>
      <c r="B30" s="37"/>
      <c r="C30" s="67"/>
      <c r="D30" s="66"/>
      <c r="E30" s="67"/>
      <c r="F30" s="67">
        <v>2992500</v>
      </c>
    </row>
    <row r="31" spans="1:6" ht="86.25" customHeight="1">
      <c r="A31" s="37" t="s">
        <v>169</v>
      </c>
      <c r="B31" s="37"/>
      <c r="C31" s="67"/>
      <c r="D31" s="66"/>
      <c r="E31" s="67"/>
      <c r="F31" s="67">
        <v>681721.33</v>
      </c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80" t="s">
        <v>185</v>
      </c>
      <c r="B1" s="80" t="s">
        <v>184</v>
      </c>
      <c r="C1" s="1" t="s">
        <v>183</v>
      </c>
      <c r="D1" s="1" t="s">
        <v>180</v>
      </c>
      <c r="E1" s="1" t="s">
        <v>181</v>
      </c>
    </row>
    <row r="2" spans="1:5" ht="12.75">
      <c r="A2" s="133">
        <f>Оценка!F126</f>
        <v>84.21</v>
      </c>
      <c r="B2" s="133">
        <f>Оценка!H126</f>
        <v>86.18</v>
      </c>
      <c r="C2" s="133">
        <f>Оценка!E126</f>
        <v>86.32</v>
      </c>
      <c r="D2" s="133">
        <f>Оценка!D126</f>
        <v>92.11</v>
      </c>
      <c r="E2" s="133">
        <f>Оценка!G126</f>
        <v>95.39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2019-05-15T14:38:19Z</cp:lastPrinted>
  <dcterms:created xsi:type="dcterms:W3CDTF">1996-10-08T23:32:33Z</dcterms:created>
  <dcterms:modified xsi:type="dcterms:W3CDTF">2019-05-23T15:08:22Z</dcterms:modified>
  <cp:category/>
  <cp:version/>
  <cp:contentType/>
  <cp:contentStatus/>
</cp:coreProperties>
</file>