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70" yWindow="2880" windowWidth="11340" windowHeight="9345" tabRatio="775" activeTab="0"/>
  </bookViews>
  <sheets>
    <sheet name="анализ" sheetId="1" r:id="rId1"/>
  </sheets>
  <definedNames>
    <definedName name="_xlnm.Print_Titles" localSheetId="0">'анализ'!$5:$6</definedName>
    <definedName name="_xlnm.Print_Area" localSheetId="0">'анализ'!$A$1:$E$124</definedName>
  </definedNames>
  <calcPr fullCalcOnLoad="1"/>
</workbook>
</file>

<file path=xl/sharedStrings.xml><?xml version="1.0" encoding="utf-8"?>
<sst xmlns="http://schemas.openxmlformats.org/spreadsheetml/2006/main" count="336" uniqueCount="245">
  <si>
    <t>Субсидии бюджетам бюджетной системы Российской Федерации (межбюджетные субсидии)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</si>
  <si>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</si>
  <si>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</si>
  <si>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</si>
  <si>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</si>
  <si>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</si>
  <si>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</si>
  <si>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</si>
  <si>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</si>
  <si>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</si>
  <si>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</si>
  <si>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000 1 13 02000 00 0000 130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</si>
  <si>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</si>
  <si>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</si>
  <si>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</si>
  <si>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</si>
  <si>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</si>
  <si>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</si>
  <si>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</si>
  <si>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</si>
  <si>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</si>
  <si>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</si>
  <si>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</si>
  <si>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</si>
  <si>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</si>
  <si>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000 1 13 00000 00 0000 000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</si>
  <si>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</si>
  <si>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</si>
  <si>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</si>
  <si>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</si>
  <si>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</si>
  <si>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</si>
  <si>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</si>
  <si>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</si>
  <si>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000 1 06 00000 00 0000 000</t>
  </si>
  <si>
    <t>Налоги на имущество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</si>
  <si>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</si>
  <si>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</si>
  <si>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</si>
  <si>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</si>
  <si>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</si>
  <si>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</si>
  <si>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</si>
  <si>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</si>
  <si>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</si>
  <si>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000 1 11 00000 00 0000 000</t>
  </si>
  <si>
    <t>ИТОГО ДОХОДОВ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</si>
  <si>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</si>
  <si>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</si>
  <si>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</si>
  <si>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</si>
  <si>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</si>
  <si>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</si>
  <si>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</si>
  <si>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</si>
  <si>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</si>
  <si>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000 1 17 00000 00 0000 000</t>
  </si>
  <si>
    <t>Прочие неналоговые доходы</t>
  </si>
  <si>
    <t>000 2 18 00000 00 0000 000</t>
  </si>
  <si>
    <t>000 2 19 00000 00 0000 000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</si>
  <si>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</si>
  <si>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</si>
  <si>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</si>
  <si>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</si>
  <si>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</si>
  <si>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</si>
  <si>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</si>
  <si>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</si>
  <si>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000 1 01 02010 01 0000 110</t>
  </si>
  <si>
    <t>000 1 05 01011 01 0000 110</t>
  </si>
  <si>
    <t>Налог, взимаемый с налогоплательщиков, выбравших в качестве объекта налогообложения  доходы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</si>
  <si>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</si>
  <si>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</si>
  <si>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</si>
  <si>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</si>
  <si>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</si>
  <si>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</si>
  <si>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</si>
  <si>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</si>
  <si>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</si>
  <si>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</si>
  <si>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</si>
  <si>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</si>
  <si>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</si>
  <si>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</si>
  <si>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</si>
  <si>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</si>
  <si>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</si>
  <si>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</si>
  <si>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</si>
  <si>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</si>
  <si>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</si>
  <si>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</si>
  <si>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</si>
  <si>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</si>
  <si>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</si>
  <si>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</si>
  <si>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</si>
  <si>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</si>
  <si>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</si>
  <si>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</si>
  <si>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</si>
  <si>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</si>
  <si>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</si>
  <si>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</si>
  <si>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000 1 13 02994 04 0000 130</t>
  </si>
  <si>
    <t>Прочие доходы от компенсации затрат бюджетов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</si>
  <si>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</si>
  <si>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</si>
  <si>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000 1 16 90040 04 0000 140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</si>
  <si>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</si>
  <si>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000 1 17 01040 04 0000 180</t>
  </si>
  <si>
    <t>Невыясненные поступления, зачисляемые в бюджеты городских округов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</si>
  <si>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</si>
  <si>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</si>
  <si>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темп роста 2021 г. к 2020 г.</t>
  </si>
  <si>
    <t>Дотации бюджетам городских округов на выравнивание бюджетной обеспеченнности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</si>
  <si>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</si>
  <si>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</si>
  <si>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</si>
  <si>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</si>
  <si>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</si>
  <si>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</si>
  <si>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</si>
  <si>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</si>
  <si>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</si>
  <si>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000 1 12 01041 01 0000 120</t>
  </si>
  <si>
    <t xml:space="preserve">Плата за размещение отходов производства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</si>
  <si>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</si>
  <si>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000 1 12 01042 01 0000 120</t>
  </si>
  <si>
    <t>Плата за размещение твердых коммунальных отходов</t>
  </si>
  <si>
    <t>Субсидии бюджетам городских округов на софинансирование капитальных вложений в объекты муниципальной собственности</t>
  </si>
  <si>
    <t>2022 год            (проект РСД)</t>
  </si>
  <si>
    <t>темп роста 2022 г. к 2021 г.</t>
  </si>
  <si>
    <t>0001 03 02231 01 0000 110</t>
  </si>
  <si>
    <t>0001 03 02241 01 0000 110</t>
  </si>
  <si>
    <t>0001 03 02261 01 0000 110</t>
  </si>
  <si>
    <t>0001 03 02251 01 0000 110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</si>
  <si>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</si>
  <si>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000 2 02 20077 04 0000 150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</si>
  <si>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</si>
  <si>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</si>
  <si>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000 2 02 39998 04 0000 150</t>
  </si>
  <si>
    <t>Единая субвенция бюджетам городских округов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</si>
  <si>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</si>
  <si>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</si>
  <si>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</si>
  <si>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</si>
  <si>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</si>
  <si>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</si>
  <si>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</si>
  <si>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</si>
  <si>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2023 год            (проект РСД)</t>
  </si>
  <si>
    <t>темп роста 2023 г. к 2022 г.</t>
  </si>
  <si>
    <t>000 2 02 10000 00 0000 150</t>
  </si>
  <si>
    <t>000 2 02 15001 04 0000 150</t>
  </si>
  <si>
    <t xml:space="preserve">000 2 02 15002 04 0000 150 </t>
  </si>
  <si>
    <t xml:space="preserve">  000 2 02 15010 04 0000 150</t>
  </si>
  <si>
    <t>000 2 02 20000 00 0000 150</t>
  </si>
  <si>
    <t>000 2 02 25519 04 0000 150</t>
  </si>
  <si>
    <t>000 2 02 25555 04 0000 150</t>
  </si>
  <si>
    <t xml:space="preserve">000 2 02 29999 04 0000 150                                                                                                </t>
  </si>
  <si>
    <t xml:space="preserve">000 2 02 30000 00 0000 150                                                                                               </t>
  </si>
  <si>
    <t xml:space="preserve">000 2 02 30027 04 0000 150                                                                                          </t>
  </si>
  <si>
    <t xml:space="preserve">000 2 02 30029 04 0000 150                                                                                           </t>
  </si>
  <si>
    <t xml:space="preserve">000 2 02 35120 04 0000 150
</t>
  </si>
  <si>
    <t xml:space="preserve">000 2 02 35930 04 0000 150                                                              </t>
  </si>
  <si>
    <t>000 2 02 40000 00 0000 150</t>
  </si>
  <si>
    <t>000 2 02 49999 04 0000 150</t>
  </si>
  <si>
    <t xml:space="preserve">000 2 07 00000 00 0000 150 </t>
  </si>
  <si>
    <t>000 2 07 04050 04 0000 150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</si>
  <si>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</si>
  <si>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</si>
  <si>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</si>
  <si>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</si>
  <si>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</si>
  <si>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</si>
  <si>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000 1 16 01063 01 0000 140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</si>
  <si>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</si>
  <si>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</si>
  <si>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000 1 16 01083 01 0000 140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</si>
  <si>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</si>
  <si>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</si>
  <si>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</si>
  <si>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</si>
  <si>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</si>
  <si>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000 1 16 01173 01 0000 140</t>
  </si>
  <si>
    <t>000 1 16 01183 01 0000 140</t>
  </si>
  <si>
    <t>000 1 16 01193 01 0000 140</t>
  </si>
  <si>
    <t>000 1 16 01194 01 0000 140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</si>
  <si>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</si>
  <si>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</si>
  <si>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000 1 16 01333 01 0000 140</t>
  </si>
  <si>
    <t>000 1 16 07010 04 0000 140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</si>
  <si>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</si>
  <si>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</si>
  <si>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</si>
  <si>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000 1 16 10123 01 0000 140</t>
  </si>
  <si>
    <t>000 1 16 10129 01 0000 140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</si>
  <si>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</si>
  <si>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</si>
  <si>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</si>
  <si>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</si>
  <si>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</si>
  <si>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</si>
  <si>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</si>
  <si>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</si>
  <si>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</si>
  <si>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</si>
  <si>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</si>
  <si>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</si>
  <si>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Cведения о доходах бюджета по видам доходов на 2022 год и на плановый период 2023 и 2024 годов в сравнении с ожидаемым исполнением за 2021 год (оценка текущего финансового года) и отчетом за 2020 год (отчетный финансовый год)</t>
  </si>
  <si>
    <t>2020 год            (исполнение)</t>
  </si>
  <si>
    <t>2021 год            (ожидаемая оценка)</t>
  </si>
  <si>
    <t>2024 год            (проект РСД)</t>
  </si>
  <si>
    <t>темп роста 2024 г. к 2023 г.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</si>
  <si>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</si>
  <si>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</si>
  <si>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</si>
  <si>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</si>
  <si>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</si>
  <si>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</si>
  <si>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</si>
  <si>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</si>
  <si>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</si>
  <si>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</si>
  <si>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</si>
  <si>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</si>
  <si>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</si>
  <si>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</si>
  <si>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</si>
  <si>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000 2 02 49001 04 0000 150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</si>
  <si>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</si>
  <si>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000 2 02 45594 04 0000 150</t>
  </si>
  <si>
    <t>Межбюджетный трансферт, передаваемый бюджетам городких округов на реализацию проектов развития социальной и инженерной инфраструктуры</t>
  </si>
  <si>
    <t>000 1 0 1 02080 01 0000 110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</si>
  <si>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</si>
  <si>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</si>
  <si>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</si>
  <si>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</si>
  <si>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</si>
  <si>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</si>
  <si>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</si>
  <si>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000 2 02 25513 04 0000 150</t>
  </si>
  <si>
    <t>Субсидии бюджетам городских округов на развитие сети учреждений культурно-досугового типа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</si>
</sst>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vertAlign val="superscript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23" fillId="24" borderId="10" xfId="0" applyFont="1" applyFill="1" applyBorder="1" applyAlignment="1">
      <alignment horizontal="justify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4" fontId="24" fillId="24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justify" vertical="center" wrapText="1"/>
    </xf>
    <xf numFmtId="2" fontId="21" fillId="24" borderId="10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vertical="center" wrapText="1"/>
    </xf>
    <xf numFmtId="2" fontId="24" fillId="24" borderId="10" xfId="0" applyNumberFormat="1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left" vertical="center" wrapText="1"/>
    </xf>
    <xf numFmtId="4" fontId="23" fillId="25" borderId="10" xfId="0" applyNumberFormat="1" applyFont="1" applyFill="1" applyBorder="1" applyAlignment="1">
      <alignment horizontal="center" vertical="center"/>
    </xf>
    <xf numFmtId="49" fontId="21" fillId="25" borderId="11" xfId="0" applyNumberFormat="1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21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right" vertical="center"/>
    </xf>
    <xf numFmtId="49" fontId="25" fillId="0" borderId="0" xfId="0" applyNumberFormat="1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27"/>
  <sheetViews>
    <sheetView tabSelected="1" zoomScalePageLayoutView="0" workbookViewId="0" topLeftCell="A116">
      <selection activeCell="H122" sqref="H122"/>
    </sheetView>
  </sheetViews>
  <sheetFormatPr defaultColWidth="9.00390625" defaultRowHeight="12.75"/>
  <cols>
    <col min="1" max="1" width="26.875" style="1" customWidth="1"/>
    <col min="2" max="2" width="46.25390625" style="1" customWidth="1"/>
    <col min="3" max="7" width="16.00390625" style="3" customWidth="1"/>
    <col min="8" max="8" width="8.625" style="3" customWidth="1"/>
    <col min="9" max="9" width="8.25390625" style="3" customWidth="1"/>
    <col min="10" max="10" width="8.00390625" style="3" customWidth="1"/>
    <col min="11" max="11" width="7.875" style="3" customWidth="1"/>
    <col min="12" max="12" width="9.125" style="1" customWidth="1"/>
    <col min="13" max="13" width="10.875" style="1" bestFit="1" customWidth="1"/>
    <col min="14" max="16384" width="9.125" style="1" customWidth="1"/>
  </cols>
  <sheetData>
    <row r="1" ht="12.75">
      <c r="B1" s="2"/>
    </row>
    <row r="2" ht="12.75">
      <c r="B2" s="2"/>
    </row>
    <row r="3" spans="1:11" ht="75.75" customHeight="1">
      <c r="A3" s="56" t="s">
        <v>211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3:11" ht="12.75">
      <c r="C4" s="52"/>
      <c r="D4" s="53"/>
      <c r="E4" s="53"/>
      <c r="F4" s="53"/>
      <c r="G4" s="53"/>
      <c r="H4" s="52"/>
      <c r="I4" s="52"/>
      <c r="J4" s="52"/>
      <c r="K4" s="52"/>
    </row>
    <row r="5" spans="1:11" ht="56.25" customHeight="1">
      <c r="A5" s="4" t="s">
        <v>12</v>
      </c>
      <c r="B5" s="5" t="s">
        <v>13</v>
      </c>
      <c r="C5" s="4" t="s">
        <v>212</v>
      </c>
      <c r="D5" s="4" t="s">
        <v>213</v>
      </c>
      <c r="E5" s="4" t="s">
        <v>132</v>
      </c>
      <c r="F5" s="4" t="s">
        <v>152</v>
      </c>
      <c r="G5" s="4" t="s">
        <v>214</v>
      </c>
      <c r="H5" s="4" t="s">
        <v>115</v>
      </c>
      <c r="I5" s="4" t="s">
        <v>133</v>
      </c>
      <c r="J5" s="4" t="s">
        <v>153</v>
      </c>
      <c r="K5" s="4" t="s">
        <v>215</v>
      </c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14</v>
      </c>
      <c r="B7" s="8" t="s">
        <v>15</v>
      </c>
      <c r="C7" s="9">
        <f>C8+C41</f>
        <v>904145712.0799999</v>
      </c>
      <c r="D7" s="9">
        <f>D8+D41</f>
        <v>943647288.89</v>
      </c>
      <c r="E7" s="9">
        <f>E8+E41</f>
        <v>970512720.74</v>
      </c>
      <c r="F7" s="9">
        <f>F8+F41</f>
        <v>1010914392.4</v>
      </c>
      <c r="G7" s="9">
        <f>G8+G41</f>
        <v>1042648930.18</v>
      </c>
      <c r="H7" s="34">
        <f aca="true" t="shared" si="0" ref="H7:K8">D7/C7</f>
        <v>1.0436893924090245</v>
      </c>
      <c r="I7" s="34">
        <f t="shared" si="0"/>
        <v>1.0284697812056467</v>
      </c>
      <c r="J7" s="34">
        <f t="shared" si="0"/>
        <v>1.041629203612287</v>
      </c>
      <c r="K7" s="34">
        <f t="shared" si="0"/>
        <v>1.0313919141112031</v>
      </c>
    </row>
    <row r="8" spans="1:11" ht="13.5">
      <c r="A8" s="7"/>
      <c r="B8" s="10" t="s">
        <v>16</v>
      </c>
      <c r="C8" s="11">
        <f>C10+C16+C22+C33+C38</f>
        <v>801834148.31</v>
      </c>
      <c r="D8" s="48">
        <f>D10+D16+D22+D33+D38</f>
        <v>834769082.93</v>
      </c>
      <c r="E8" s="48">
        <f>E10+E16+E22+E33+E38</f>
        <v>863464304.04</v>
      </c>
      <c r="F8" s="48">
        <f>F10+F16+F22+F33+F38</f>
        <v>911871367.15</v>
      </c>
      <c r="G8" s="48">
        <f>G10+G16+G22+G33+G38</f>
        <v>938399083.18</v>
      </c>
      <c r="H8" s="34">
        <f t="shared" si="0"/>
        <v>1.0410744973750692</v>
      </c>
      <c r="I8" s="34">
        <f t="shared" si="0"/>
        <v>1.0343750405912029</v>
      </c>
      <c r="J8" s="34">
        <f t="shared" si="0"/>
        <v>1.0560614525505128</v>
      </c>
      <c r="K8" s="34">
        <f t="shared" si="0"/>
        <v>1.0290915111337586</v>
      </c>
    </row>
    <row r="9" spans="1:11" ht="13.5">
      <c r="A9" s="7"/>
      <c r="B9" s="10" t="s">
        <v>17</v>
      </c>
      <c r="C9" s="9"/>
      <c r="D9" s="9"/>
      <c r="E9" s="9"/>
      <c r="F9" s="9"/>
      <c r="G9" s="9"/>
      <c r="H9" s="34"/>
      <c r="I9" s="34"/>
      <c r="J9" s="34"/>
      <c r="K9" s="34"/>
    </row>
    <row r="10" spans="1:11" ht="12.75">
      <c r="A10" s="12" t="s">
        <v>18</v>
      </c>
      <c r="B10" s="13" t="s">
        <v>19</v>
      </c>
      <c r="C10" s="14">
        <f>C11</f>
        <v>733209312.3599999</v>
      </c>
      <c r="D10" s="14">
        <f>D11</f>
        <v>768777864</v>
      </c>
      <c r="E10" s="14">
        <f>E11</f>
        <v>799517672</v>
      </c>
      <c r="F10" s="14">
        <f>F11</f>
        <v>823514845</v>
      </c>
      <c r="G10" s="14">
        <f>G11</f>
        <v>848220289</v>
      </c>
      <c r="H10" s="34">
        <f aca="true" t="shared" si="1" ref="H10:H39">D10/C10</f>
        <v>1.0485107745365572</v>
      </c>
      <c r="I10" s="34">
        <f aca="true" t="shared" si="2" ref="I10:I40">E10/D10</f>
        <v>1.0399852928127493</v>
      </c>
      <c r="J10" s="34">
        <f aca="true" t="shared" si="3" ref="J10:K40">F10/E10</f>
        <v>1.0300145623297743</v>
      </c>
      <c r="K10" s="34">
        <f t="shared" si="3"/>
        <v>1.0299999983606853</v>
      </c>
    </row>
    <row r="11" spans="1:11" s="19" customFormat="1" ht="12.75">
      <c r="A11" s="38" t="s">
        <v>20</v>
      </c>
      <c r="B11" s="39" t="s">
        <v>21</v>
      </c>
      <c r="C11" s="40">
        <f>C12+C13+C14+C15</f>
        <v>733209312.3599999</v>
      </c>
      <c r="D11" s="40">
        <f>D12+D13+D14+D15</f>
        <v>768777864</v>
      </c>
      <c r="E11" s="40">
        <f>E12+E13+E14+E15</f>
        <v>799517672</v>
      </c>
      <c r="F11" s="40">
        <f>F12+F13+F14+F15</f>
        <v>823514845</v>
      </c>
      <c r="G11" s="40">
        <f>G12+G13+G14+G15</f>
        <v>848220289</v>
      </c>
      <c r="H11" s="41">
        <f t="shared" si="1"/>
        <v>1.0485107745365572</v>
      </c>
      <c r="I11" s="41">
        <f t="shared" si="2"/>
        <v>1.0399852928127493</v>
      </c>
      <c r="J11" s="41">
        <f t="shared" si="3"/>
        <v>1.0300145623297743</v>
      </c>
      <c r="K11" s="41">
        <f t="shared" si="3"/>
        <v>1.0299999983606853</v>
      </c>
    </row>
    <row r="12" spans="1:11" ht="70.5" customHeight="1">
      <c r="A12" s="36" t="s">
        <v>68</v>
      </c>
      <c r="B12" s="18" t="s">
        <v>63</v>
      </c>
      <c r="C12" s="16">
        <v>731956538.81</v>
      </c>
      <c r="D12" s="16">
        <v>763993111</v>
      </c>
      <c r="E12" s="16">
        <v>794551929</v>
      </c>
      <c r="F12" s="16">
        <v>818400132</v>
      </c>
      <c r="G12" s="16">
        <v>842952135</v>
      </c>
      <c r="H12" s="35">
        <f t="shared" si="1"/>
        <v>1.0437684076736093</v>
      </c>
      <c r="I12" s="35">
        <f t="shared" si="2"/>
        <v>1.0399988135495113</v>
      </c>
      <c r="J12" s="35">
        <f t="shared" si="3"/>
        <v>1.030014656222677</v>
      </c>
      <c r="K12" s="35">
        <f t="shared" si="3"/>
        <v>1.0299999988269797</v>
      </c>
    </row>
    <row r="13" spans="1:11" ht="114.75">
      <c r="A13" s="36" t="s">
        <v>64</v>
      </c>
      <c r="B13" s="18" t="s">
        <v>65</v>
      </c>
      <c r="C13" s="16">
        <v>352426.17</v>
      </c>
      <c r="D13" s="16">
        <v>401950</v>
      </c>
      <c r="E13" s="16">
        <v>407628</v>
      </c>
      <c r="F13" s="16">
        <v>419856</v>
      </c>
      <c r="G13" s="16">
        <v>432451</v>
      </c>
      <c r="H13" s="35">
        <f t="shared" si="1"/>
        <v>1.1405225667549037</v>
      </c>
      <c r="I13" s="35">
        <f t="shared" si="2"/>
        <v>1.0141261350914292</v>
      </c>
      <c r="J13" s="35">
        <f t="shared" si="3"/>
        <v>1.0299979392975949</v>
      </c>
      <c r="K13" s="35">
        <f t="shared" si="3"/>
        <v>1.0299983803970885</v>
      </c>
    </row>
    <row r="14" spans="1:11" ht="51">
      <c r="A14" s="36" t="s">
        <v>66</v>
      </c>
      <c r="B14" s="18" t="s">
        <v>67</v>
      </c>
      <c r="C14" s="16">
        <v>900347.38</v>
      </c>
      <c r="D14" s="16">
        <v>1834803</v>
      </c>
      <c r="E14" s="16">
        <v>1908195</v>
      </c>
      <c r="F14" s="16">
        <v>1965440</v>
      </c>
      <c r="G14" s="16">
        <v>2024403</v>
      </c>
      <c r="H14" s="35">
        <f t="shared" si="1"/>
        <v>2.037883422285296</v>
      </c>
      <c r="I14" s="35">
        <f t="shared" si="2"/>
        <v>1.0399999345978832</v>
      </c>
      <c r="J14" s="35">
        <f t="shared" si="3"/>
        <v>1.0299995545528629</v>
      </c>
      <c r="K14" s="35">
        <f t="shared" si="3"/>
        <v>1.0299998982416152</v>
      </c>
    </row>
    <row r="15" spans="1:11" ht="89.25">
      <c r="A15" s="36" t="s">
        <v>235</v>
      </c>
      <c r="B15" s="18" t="s">
        <v>236</v>
      </c>
      <c r="C15" s="16">
        <v>0</v>
      </c>
      <c r="D15" s="16">
        <v>2548000</v>
      </c>
      <c r="E15" s="16">
        <v>2649920</v>
      </c>
      <c r="F15" s="16">
        <v>2729417</v>
      </c>
      <c r="G15" s="16">
        <v>2811300</v>
      </c>
      <c r="H15" s="35" t="s">
        <v>62</v>
      </c>
      <c r="I15" s="35">
        <f t="shared" si="2"/>
        <v>1.04</v>
      </c>
      <c r="J15" s="35">
        <f t="shared" si="3"/>
        <v>1.0299997735780704</v>
      </c>
      <c r="K15" s="35">
        <f t="shared" si="3"/>
        <v>1.0300001795255178</v>
      </c>
    </row>
    <row r="16" spans="1:11" ht="25.5">
      <c r="A16" s="12" t="s">
        <v>47</v>
      </c>
      <c r="B16" s="17" t="s">
        <v>48</v>
      </c>
      <c r="C16" s="14">
        <f>C17</f>
        <v>7733197.289999999</v>
      </c>
      <c r="D16" s="14">
        <f>D17</f>
        <v>8648749.4</v>
      </c>
      <c r="E16" s="14">
        <f>E17</f>
        <v>8826428.04</v>
      </c>
      <c r="F16" s="14">
        <f>F17</f>
        <v>9212481.15</v>
      </c>
      <c r="G16" s="14">
        <f>G17</f>
        <v>9771285.18</v>
      </c>
      <c r="H16" s="34">
        <f t="shared" si="1"/>
        <v>1.1183924417891065</v>
      </c>
      <c r="I16" s="34">
        <f t="shared" si="2"/>
        <v>1.0205438534269473</v>
      </c>
      <c r="J16" s="34">
        <f t="shared" si="3"/>
        <v>1.043738317272907</v>
      </c>
      <c r="K16" s="34">
        <f t="shared" si="3"/>
        <v>1.0606572779798848</v>
      </c>
    </row>
    <row r="17" spans="1:11" s="19" customFormat="1" ht="38.25">
      <c r="A17" s="38" t="s">
        <v>49</v>
      </c>
      <c r="B17" s="42" t="s">
        <v>50</v>
      </c>
      <c r="C17" s="40">
        <f>C18+C19+C20+C21</f>
        <v>7733197.289999999</v>
      </c>
      <c r="D17" s="40">
        <f>D18+D19+D20+D21</f>
        <v>8648749.4</v>
      </c>
      <c r="E17" s="40">
        <f>E18+E19+E20+E21</f>
        <v>8826428.04</v>
      </c>
      <c r="F17" s="40">
        <f>F18+F19+F20+F21</f>
        <v>9212481.15</v>
      </c>
      <c r="G17" s="40">
        <f>G18+G19+G20+G21</f>
        <v>9771285.18</v>
      </c>
      <c r="H17" s="41">
        <f t="shared" si="1"/>
        <v>1.1183924417891065</v>
      </c>
      <c r="I17" s="41">
        <f t="shared" si="2"/>
        <v>1.0205438534269473</v>
      </c>
      <c r="J17" s="41">
        <f t="shared" si="3"/>
        <v>1.043738317272907</v>
      </c>
      <c r="K17" s="41">
        <f t="shared" si="3"/>
        <v>1.0606572779798848</v>
      </c>
    </row>
    <row r="18" spans="1:11" ht="116.25" customHeight="1">
      <c r="A18" s="36" t="s">
        <v>134</v>
      </c>
      <c r="B18" s="18" t="s">
        <v>216</v>
      </c>
      <c r="C18" s="16">
        <v>3566842.55</v>
      </c>
      <c r="D18" s="16">
        <v>3983799.1</v>
      </c>
      <c r="E18" s="16">
        <v>3990699.59</v>
      </c>
      <c r="F18" s="16">
        <v>4121642.15</v>
      </c>
      <c r="G18" s="16">
        <v>4302172.73</v>
      </c>
      <c r="H18" s="35">
        <f t="shared" si="1"/>
        <v>1.1168979410094793</v>
      </c>
      <c r="I18" s="35">
        <f t="shared" si="2"/>
        <v>1.0017321380488287</v>
      </c>
      <c r="J18" s="35">
        <f t="shared" si="3"/>
        <v>1.0328119311030375</v>
      </c>
      <c r="K18" s="35">
        <f t="shared" si="3"/>
        <v>1.0438006438768588</v>
      </c>
    </row>
    <row r="19" spans="1:11" ht="131.25" customHeight="1">
      <c r="A19" s="36" t="s">
        <v>135</v>
      </c>
      <c r="B19" s="18" t="s">
        <v>217</v>
      </c>
      <c r="C19" s="16">
        <v>25512.63</v>
      </c>
      <c r="D19" s="16">
        <v>23137.3</v>
      </c>
      <c r="E19" s="16">
        <v>22090.18</v>
      </c>
      <c r="F19" s="16">
        <v>23086.83</v>
      </c>
      <c r="G19" s="16">
        <v>24857.69</v>
      </c>
      <c r="H19" s="35">
        <f t="shared" si="1"/>
        <v>0.9068959178257984</v>
      </c>
      <c r="I19" s="35">
        <f t="shared" si="2"/>
        <v>0.9547432068564613</v>
      </c>
      <c r="J19" s="35">
        <f t="shared" si="3"/>
        <v>1.0451173326790457</v>
      </c>
      <c r="K19" s="35">
        <f t="shared" si="3"/>
        <v>1.0767043374945802</v>
      </c>
    </row>
    <row r="20" spans="1:11" ht="114.75">
      <c r="A20" s="36" t="s">
        <v>137</v>
      </c>
      <c r="B20" s="18" t="s">
        <v>172</v>
      </c>
      <c r="C20" s="16">
        <v>4798405.36</v>
      </c>
      <c r="D20" s="16">
        <v>4641813</v>
      </c>
      <c r="E20" s="16">
        <v>4813638.27</v>
      </c>
      <c r="F20" s="16">
        <v>5067752.17</v>
      </c>
      <c r="G20" s="16">
        <v>5444254.76</v>
      </c>
      <c r="H20" s="35">
        <f t="shared" si="1"/>
        <v>0.9673657500249208</v>
      </c>
      <c r="I20" s="35">
        <f t="shared" si="2"/>
        <v>1.0370168444958898</v>
      </c>
      <c r="J20" s="35">
        <f t="shared" si="3"/>
        <v>1.0527904021338106</v>
      </c>
      <c r="K20" s="35">
        <f t="shared" si="3"/>
        <v>1.0742938047027661</v>
      </c>
    </row>
    <row r="21" spans="1:11" ht="118.5" customHeight="1">
      <c r="A21" s="36" t="s">
        <v>136</v>
      </c>
      <c r="B21" s="18" t="s">
        <v>138</v>
      </c>
      <c r="C21" s="16">
        <v>-657563.25</v>
      </c>
      <c r="D21" s="16">
        <v>0</v>
      </c>
      <c r="E21" s="16">
        <v>0</v>
      </c>
      <c r="F21" s="16">
        <v>0</v>
      </c>
      <c r="G21" s="16">
        <v>0</v>
      </c>
      <c r="H21" s="35">
        <f t="shared" si="1"/>
        <v>0</v>
      </c>
      <c r="I21" s="35" t="s">
        <v>62</v>
      </c>
      <c r="J21" s="35" t="s">
        <v>62</v>
      </c>
      <c r="K21" s="35" t="s">
        <v>62</v>
      </c>
    </row>
    <row r="22" spans="1:11" ht="12.75">
      <c r="A22" s="12" t="s">
        <v>51</v>
      </c>
      <c r="B22" s="13" t="s">
        <v>52</v>
      </c>
      <c r="C22" s="14">
        <f>C23+C29+C32</f>
        <v>50299146.7</v>
      </c>
      <c r="D22" s="14">
        <f>D23+D29+D32</f>
        <v>36351450</v>
      </c>
      <c r="E22" s="14">
        <f>E23+E29+E32</f>
        <v>34356583</v>
      </c>
      <c r="F22" s="14">
        <f>F23+F29+F32</f>
        <v>58003281</v>
      </c>
      <c r="G22" s="14">
        <f>G23+G29+G32</f>
        <v>58891326</v>
      </c>
      <c r="H22" s="34">
        <f t="shared" si="1"/>
        <v>0.7227051030668876</v>
      </c>
      <c r="I22" s="34">
        <f t="shared" si="2"/>
        <v>0.9451227667672129</v>
      </c>
      <c r="J22" s="34">
        <f t="shared" si="3"/>
        <v>1.688272695803305</v>
      </c>
      <c r="K22" s="34">
        <f t="shared" si="3"/>
        <v>1.0153102546043904</v>
      </c>
    </row>
    <row r="23" spans="1:11" s="19" customFormat="1" ht="25.5">
      <c r="A23" s="38" t="s">
        <v>53</v>
      </c>
      <c r="B23" s="43" t="s">
        <v>22</v>
      </c>
      <c r="C23" s="40">
        <f>C24+C25+C26+C28+C27</f>
        <v>38642348.63</v>
      </c>
      <c r="D23" s="40">
        <f>D24+D25+D26+D28+D27</f>
        <v>32019450</v>
      </c>
      <c r="E23" s="40">
        <f>E24+E25+E26+E28+E27</f>
        <v>33140660</v>
      </c>
      <c r="F23" s="40">
        <f>F24+F25+F26+F28+F27</f>
        <v>56763281</v>
      </c>
      <c r="G23" s="40">
        <f>G24+G25+G26+G28+G27</f>
        <v>57615326</v>
      </c>
      <c r="H23" s="41">
        <f t="shared" si="1"/>
        <v>0.8286103494015291</v>
      </c>
      <c r="I23" s="41">
        <f t="shared" si="2"/>
        <v>1.0350165290159574</v>
      </c>
      <c r="J23" s="41">
        <f t="shared" si="3"/>
        <v>1.7127987493308823</v>
      </c>
      <c r="K23" s="41">
        <f t="shared" si="3"/>
        <v>1.0150104959577653</v>
      </c>
    </row>
    <row r="24" spans="1:11" ht="25.5">
      <c r="A24" s="36" t="s">
        <v>69</v>
      </c>
      <c r="B24" s="18" t="s">
        <v>70</v>
      </c>
      <c r="C24" s="16">
        <v>15559011.05</v>
      </c>
      <c r="D24" s="16">
        <v>14105000</v>
      </c>
      <c r="E24" s="16">
        <v>10649611</v>
      </c>
      <c r="F24" s="16">
        <v>18164249.92</v>
      </c>
      <c r="G24" s="16">
        <v>18436904.32</v>
      </c>
      <c r="H24" s="35">
        <f t="shared" si="1"/>
        <v>0.9065486202607973</v>
      </c>
      <c r="I24" s="35">
        <f t="shared" si="2"/>
        <v>0.7550238213399504</v>
      </c>
      <c r="J24" s="35">
        <f t="shared" si="3"/>
        <v>1.7056256721489642</v>
      </c>
      <c r="K24" s="35">
        <f t="shared" si="3"/>
        <v>1.0150104959577653</v>
      </c>
    </row>
    <row r="25" spans="1:11" ht="38.25" hidden="1">
      <c r="A25" s="36" t="s">
        <v>71</v>
      </c>
      <c r="B25" s="18" t="s">
        <v>72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35" t="s">
        <v>62</v>
      </c>
      <c r="I25" s="35" t="s">
        <v>62</v>
      </c>
      <c r="J25" s="35" t="s">
        <v>62</v>
      </c>
      <c r="K25" s="35" t="s">
        <v>62</v>
      </c>
    </row>
    <row r="26" spans="1:11" ht="63.75">
      <c r="A26" s="36" t="s">
        <v>73</v>
      </c>
      <c r="B26" s="18" t="s">
        <v>171</v>
      </c>
      <c r="C26" s="16">
        <v>23082980.62</v>
      </c>
      <c r="D26" s="16">
        <v>17914450</v>
      </c>
      <c r="E26" s="16">
        <v>22491049</v>
      </c>
      <c r="F26" s="16">
        <v>38599031.08</v>
      </c>
      <c r="G26" s="16">
        <v>39178421.68</v>
      </c>
      <c r="H26" s="35">
        <f t="shared" si="1"/>
        <v>0.776089114959366</v>
      </c>
      <c r="I26" s="35">
        <f t="shared" si="2"/>
        <v>1.255469690668706</v>
      </c>
      <c r="J26" s="35">
        <f t="shared" si="3"/>
        <v>1.7161952330458219</v>
      </c>
      <c r="K26" s="35">
        <f t="shared" si="3"/>
        <v>1.0150104959577655</v>
      </c>
    </row>
    <row r="27" spans="1:11" ht="51" customHeight="1" hidden="1">
      <c r="A27" s="36" t="s">
        <v>173</v>
      </c>
      <c r="B27" s="18" t="s">
        <v>174</v>
      </c>
      <c r="C27" s="16">
        <v>0</v>
      </c>
      <c r="D27" s="16"/>
      <c r="E27" s="16"/>
      <c r="F27" s="16"/>
      <c r="G27" s="16"/>
      <c r="H27" s="35" t="e">
        <f t="shared" si="1"/>
        <v>#DIV/0!</v>
      </c>
      <c r="I27" s="35" t="e">
        <f t="shared" si="2"/>
        <v>#DIV/0!</v>
      </c>
      <c r="J27" s="35" t="e">
        <f t="shared" si="3"/>
        <v>#DIV/0!</v>
      </c>
      <c r="K27" s="35" t="e">
        <f t="shared" si="3"/>
        <v>#DIV/0!</v>
      </c>
    </row>
    <row r="28" spans="1:11" ht="39.75" customHeight="1">
      <c r="A28" s="37" t="s">
        <v>74</v>
      </c>
      <c r="B28" s="18" t="s">
        <v>218</v>
      </c>
      <c r="C28" s="16">
        <v>356.96</v>
      </c>
      <c r="D28" s="16">
        <v>0</v>
      </c>
      <c r="E28" s="16">
        <v>0</v>
      </c>
      <c r="F28" s="16">
        <v>0</v>
      </c>
      <c r="G28" s="16">
        <v>0</v>
      </c>
      <c r="H28" s="35">
        <f t="shared" si="1"/>
        <v>0</v>
      </c>
      <c r="I28" s="35" t="s">
        <v>62</v>
      </c>
      <c r="J28" s="35" t="s">
        <v>62</v>
      </c>
      <c r="K28" s="35" t="s">
        <v>62</v>
      </c>
    </row>
    <row r="29" spans="1:11" s="19" customFormat="1" ht="25.5">
      <c r="A29" s="38" t="s">
        <v>23</v>
      </c>
      <c r="B29" s="43" t="s">
        <v>24</v>
      </c>
      <c r="C29" s="40">
        <f>C30+C31</f>
        <v>10880934.36</v>
      </c>
      <c r="D29" s="40">
        <f>D30+D31</f>
        <v>3140000</v>
      </c>
      <c r="E29" s="40">
        <f>E30+E31</f>
        <v>0</v>
      </c>
      <c r="F29" s="40">
        <f>F30+F31</f>
        <v>0</v>
      </c>
      <c r="G29" s="40">
        <f>G30+G31</f>
        <v>0</v>
      </c>
      <c r="H29" s="41">
        <f t="shared" si="1"/>
        <v>0.2885781584661632</v>
      </c>
      <c r="I29" s="41">
        <f t="shared" si="2"/>
        <v>0</v>
      </c>
      <c r="J29" s="41" t="s">
        <v>62</v>
      </c>
      <c r="K29" s="41" t="s">
        <v>62</v>
      </c>
    </row>
    <row r="30" spans="1:11" ht="25.5">
      <c r="A30" s="36" t="s">
        <v>75</v>
      </c>
      <c r="B30" s="18" t="s">
        <v>76</v>
      </c>
      <c r="C30" s="16">
        <v>10880981.6</v>
      </c>
      <c r="D30" s="16">
        <v>3140000</v>
      </c>
      <c r="E30" s="16">
        <v>0</v>
      </c>
      <c r="F30" s="16">
        <v>0</v>
      </c>
      <c r="G30" s="16">
        <v>0</v>
      </c>
      <c r="H30" s="35">
        <f t="shared" si="1"/>
        <v>0.2885769055982964</v>
      </c>
      <c r="I30" s="35">
        <f t="shared" si="2"/>
        <v>0</v>
      </c>
      <c r="J30" s="35" t="s">
        <v>62</v>
      </c>
      <c r="K30" s="35" t="s">
        <v>62</v>
      </c>
    </row>
    <row r="31" spans="1:11" ht="38.25">
      <c r="A31" s="36" t="s">
        <v>77</v>
      </c>
      <c r="B31" s="18" t="s">
        <v>78</v>
      </c>
      <c r="C31" s="16">
        <v>-47.24</v>
      </c>
      <c r="D31" s="16">
        <v>0</v>
      </c>
      <c r="E31" s="16">
        <v>0</v>
      </c>
      <c r="F31" s="16">
        <v>0</v>
      </c>
      <c r="G31" s="16">
        <v>0</v>
      </c>
      <c r="H31" s="35">
        <f t="shared" si="1"/>
        <v>0</v>
      </c>
      <c r="I31" s="35" t="s">
        <v>62</v>
      </c>
      <c r="J31" s="35" t="s">
        <v>62</v>
      </c>
      <c r="K31" s="35" t="s">
        <v>62</v>
      </c>
    </row>
    <row r="32" spans="1:11" s="19" customFormat="1" ht="38.25">
      <c r="A32" s="36" t="s">
        <v>89</v>
      </c>
      <c r="B32" s="57" t="s">
        <v>90</v>
      </c>
      <c r="C32" s="16">
        <v>775863.71</v>
      </c>
      <c r="D32" s="16">
        <v>1192000</v>
      </c>
      <c r="E32" s="16">
        <v>1215923</v>
      </c>
      <c r="F32" s="16">
        <v>1240000</v>
      </c>
      <c r="G32" s="16">
        <v>1276000</v>
      </c>
      <c r="H32" s="35">
        <f t="shared" si="1"/>
        <v>1.5363523059997226</v>
      </c>
      <c r="I32" s="35">
        <f t="shared" si="2"/>
        <v>1.0200696308724833</v>
      </c>
      <c r="J32" s="35">
        <f t="shared" si="3"/>
        <v>1.019801418346392</v>
      </c>
      <c r="K32" s="35">
        <f t="shared" si="3"/>
        <v>1.0290322580645161</v>
      </c>
    </row>
    <row r="33" spans="1:11" ht="12.75">
      <c r="A33" s="12" t="s">
        <v>34</v>
      </c>
      <c r="B33" s="13" t="s">
        <v>35</v>
      </c>
      <c r="C33" s="14">
        <f>C34+C35</f>
        <v>2254716.08</v>
      </c>
      <c r="D33" s="14">
        <f>D34+D35</f>
        <v>11699793</v>
      </c>
      <c r="E33" s="14">
        <f>E34+E35</f>
        <v>11956621</v>
      </c>
      <c r="F33" s="14">
        <f>F34+F35</f>
        <v>12245760</v>
      </c>
      <c r="G33" s="14">
        <f>G34+G35</f>
        <v>12532183</v>
      </c>
      <c r="H33" s="34">
        <f t="shared" si="1"/>
        <v>5.18903160525648</v>
      </c>
      <c r="I33" s="34">
        <f t="shared" si="2"/>
        <v>1.0219514994837944</v>
      </c>
      <c r="J33" s="34">
        <f t="shared" si="3"/>
        <v>1.0241823337881162</v>
      </c>
      <c r="K33" s="34">
        <f t="shared" si="3"/>
        <v>1.0233895650412879</v>
      </c>
    </row>
    <row r="34" spans="1:11" ht="42.75" customHeight="1">
      <c r="A34" s="36" t="s">
        <v>91</v>
      </c>
      <c r="B34" s="45" t="s">
        <v>92</v>
      </c>
      <c r="C34" s="16">
        <v>5649146.34</v>
      </c>
      <c r="D34" s="16">
        <v>5649793</v>
      </c>
      <c r="E34" s="16">
        <v>5875704</v>
      </c>
      <c r="F34" s="16">
        <v>6164760</v>
      </c>
      <c r="G34" s="16">
        <v>6451183</v>
      </c>
      <c r="H34" s="35">
        <f t="shared" si="1"/>
        <v>1.0001144703927072</v>
      </c>
      <c r="I34" s="35">
        <f t="shared" si="2"/>
        <v>1.039985712750892</v>
      </c>
      <c r="J34" s="35">
        <f t="shared" si="3"/>
        <v>1.049195126235086</v>
      </c>
      <c r="K34" s="35">
        <f t="shared" si="3"/>
        <v>1.0464613383164958</v>
      </c>
    </row>
    <row r="35" spans="1:11" s="19" customFormat="1" ht="12.75">
      <c r="A35" s="38" t="s">
        <v>36</v>
      </c>
      <c r="B35" s="43" t="s">
        <v>37</v>
      </c>
      <c r="C35" s="40">
        <f>C36+C37</f>
        <v>-3394430.26</v>
      </c>
      <c r="D35" s="40">
        <f>D36+D37</f>
        <v>6050000</v>
      </c>
      <c r="E35" s="40">
        <f>E36+E37</f>
        <v>6080917</v>
      </c>
      <c r="F35" s="40">
        <f>F36+F37</f>
        <v>6081000</v>
      </c>
      <c r="G35" s="40">
        <f>G36+G37</f>
        <v>6081000</v>
      </c>
      <c r="H35" s="41">
        <f t="shared" si="1"/>
        <v>-1.7823315067901853</v>
      </c>
      <c r="I35" s="35">
        <f t="shared" si="2"/>
        <v>1.0051102479338843</v>
      </c>
      <c r="J35" s="41">
        <f t="shared" si="3"/>
        <v>1.0000136492571763</v>
      </c>
      <c r="K35" s="41">
        <f t="shared" si="3"/>
        <v>1</v>
      </c>
    </row>
    <row r="36" spans="1:13" ht="38.25">
      <c r="A36" s="36" t="s">
        <v>79</v>
      </c>
      <c r="B36" s="18" t="s">
        <v>80</v>
      </c>
      <c r="C36" s="16">
        <v>-3394220.26</v>
      </c>
      <c r="D36" s="16">
        <v>6050000</v>
      </c>
      <c r="E36" s="16">
        <v>6080917</v>
      </c>
      <c r="F36" s="16">
        <v>6081000</v>
      </c>
      <c r="G36" s="16">
        <v>6081000</v>
      </c>
      <c r="H36" s="35">
        <f t="shared" si="1"/>
        <v>-1.7824417794265361</v>
      </c>
      <c r="I36" s="35">
        <f t="shared" si="2"/>
        <v>1.0051102479338843</v>
      </c>
      <c r="J36" s="35">
        <f t="shared" si="3"/>
        <v>1.0000136492571763</v>
      </c>
      <c r="K36" s="35">
        <f t="shared" si="3"/>
        <v>1</v>
      </c>
      <c r="M36" s="3"/>
    </row>
    <row r="37" spans="1:11" ht="38.25">
      <c r="A37" s="36" t="s">
        <v>81</v>
      </c>
      <c r="B37" s="18" t="s">
        <v>82</v>
      </c>
      <c r="C37" s="16">
        <v>-210</v>
      </c>
      <c r="D37" s="16">
        <v>0</v>
      </c>
      <c r="E37" s="16">
        <v>0</v>
      </c>
      <c r="F37" s="16">
        <v>0</v>
      </c>
      <c r="G37" s="16">
        <v>0</v>
      </c>
      <c r="H37" s="35">
        <f t="shared" si="1"/>
        <v>0</v>
      </c>
      <c r="I37" s="35" t="s">
        <v>62</v>
      </c>
      <c r="J37" s="35" t="s">
        <v>62</v>
      </c>
      <c r="K37" s="35" t="s">
        <v>62</v>
      </c>
    </row>
    <row r="38" spans="1:11" ht="12.75">
      <c r="A38" s="12" t="s">
        <v>38</v>
      </c>
      <c r="B38" s="13" t="s">
        <v>39</v>
      </c>
      <c r="C38" s="14">
        <f>C39+C40</f>
        <v>8337775.88</v>
      </c>
      <c r="D38" s="14">
        <f>D39+D40</f>
        <v>9291226.53</v>
      </c>
      <c r="E38" s="14">
        <f>E39+E40</f>
        <v>8807000</v>
      </c>
      <c r="F38" s="14">
        <f>F39+F40</f>
        <v>8895000</v>
      </c>
      <c r="G38" s="14">
        <f>G39+G40</f>
        <v>8984000</v>
      </c>
      <c r="H38" s="34">
        <f t="shared" si="1"/>
        <v>1.1143531157136355</v>
      </c>
      <c r="I38" s="34">
        <f t="shared" si="2"/>
        <v>0.9478834652845345</v>
      </c>
      <c r="J38" s="34">
        <f t="shared" si="3"/>
        <v>1.0099920517769956</v>
      </c>
      <c r="K38" s="34">
        <f t="shared" si="3"/>
        <v>1.0100056211354693</v>
      </c>
    </row>
    <row r="39" spans="1:11" ht="38.25">
      <c r="A39" s="15" t="s">
        <v>40</v>
      </c>
      <c r="B39" s="18" t="s">
        <v>41</v>
      </c>
      <c r="C39" s="16">
        <v>8337775.88</v>
      </c>
      <c r="D39" s="16">
        <v>9246226.53</v>
      </c>
      <c r="E39" s="16">
        <v>8797000</v>
      </c>
      <c r="F39" s="16">
        <v>8885000</v>
      </c>
      <c r="G39" s="16">
        <v>8974000</v>
      </c>
      <c r="H39" s="35">
        <f t="shared" si="1"/>
        <v>1.1089559929500048</v>
      </c>
      <c r="I39" s="35">
        <f t="shared" si="2"/>
        <v>0.9514151498946675</v>
      </c>
      <c r="J39" s="35">
        <f t="shared" si="3"/>
        <v>1.0100034102534956</v>
      </c>
      <c r="K39" s="35">
        <f t="shared" si="3"/>
        <v>1.0100168823860438</v>
      </c>
    </row>
    <row r="40" spans="1:11" ht="38.25">
      <c r="A40" s="15" t="s">
        <v>42</v>
      </c>
      <c r="B40" s="18" t="s">
        <v>43</v>
      </c>
      <c r="C40" s="16">
        <v>0</v>
      </c>
      <c r="D40" s="16">
        <v>45000</v>
      </c>
      <c r="E40" s="16">
        <v>10000</v>
      </c>
      <c r="F40" s="16">
        <v>10000</v>
      </c>
      <c r="G40" s="16">
        <v>10000</v>
      </c>
      <c r="H40" s="35" t="s">
        <v>62</v>
      </c>
      <c r="I40" s="35">
        <f t="shared" si="2"/>
        <v>0.2222222222222222</v>
      </c>
      <c r="J40" s="35">
        <f t="shared" si="3"/>
        <v>1</v>
      </c>
      <c r="K40" s="35">
        <f t="shared" si="3"/>
        <v>1</v>
      </c>
    </row>
    <row r="41" spans="1:11" ht="13.5">
      <c r="A41" s="12"/>
      <c r="B41" s="20" t="s">
        <v>44</v>
      </c>
      <c r="C41" s="21">
        <f>C42+C49+C55+C60+C62+C84</f>
        <v>102311563.76999998</v>
      </c>
      <c r="D41" s="21">
        <f>D42+D49+D55+D60+D62+D84</f>
        <v>108878205.96</v>
      </c>
      <c r="E41" s="21">
        <f>E42+E49+E55+E60+E62+E84</f>
        <v>107048416.7</v>
      </c>
      <c r="F41" s="21">
        <f>F42+F49+F55+F60+F62+F84</f>
        <v>99043025.25</v>
      </c>
      <c r="G41" s="21">
        <f>G42+G49+G55+G60+G62+G84</f>
        <v>104249847</v>
      </c>
      <c r="H41" s="34">
        <f aca="true" t="shared" si="4" ref="H41:H56">D41/C41</f>
        <v>1.0641827956492</v>
      </c>
      <c r="I41" s="34">
        <f>E41/D41</f>
        <v>0.9831941641225038</v>
      </c>
      <c r="J41" s="34">
        <f aca="true" t="shared" si="5" ref="J41:K47">F41/E41</f>
        <v>0.9252170961814888</v>
      </c>
      <c r="K41" s="34">
        <f t="shared" si="5"/>
        <v>1.0525713116785071</v>
      </c>
    </row>
    <row r="42" spans="1:11" ht="25.5">
      <c r="A42" s="22" t="s">
        <v>45</v>
      </c>
      <c r="B42" s="23" t="s">
        <v>7</v>
      </c>
      <c r="C42" s="14">
        <f>C43+C47+C48</f>
        <v>86026692.61999999</v>
      </c>
      <c r="D42" s="14">
        <f>D43+D47+D48</f>
        <v>86412555.94</v>
      </c>
      <c r="E42" s="14">
        <f>E43+E47+E48</f>
        <v>91719489.13000001</v>
      </c>
      <c r="F42" s="14">
        <f>F43+F47+F48</f>
        <v>90914751.8</v>
      </c>
      <c r="G42" s="14">
        <f>G43+G47+G48</f>
        <v>96534744.05</v>
      </c>
      <c r="H42" s="34">
        <f t="shared" si="4"/>
        <v>1.004485390618287</v>
      </c>
      <c r="I42" s="34">
        <f>E42/D42</f>
        <v>1.0614139129698332</v>
      </c>
      <c r="J42" s="34">
        <f t="shared" si="5"/>
        <v>0.9912261032237172</v>
      </c>
      <c r="K42" s="34">
        <f t="shared" si="5"/>
        <v>1.061816065475966</v>
      </c>
    </row>
    <row r="43" spans="1:11" s="19" customFormat="1" ht="94.5" customHeight="1">
      <c r="A43" s="38" t="s">
        <v>8</v>
      </c>
      <c r="B43" s="46" t="s">
        <v>9</v>
      </c>
      <c r="C43" s="40">
        <f>C44+C45+C46</f>
        <v>21835144.009999998</v>
      </c>
      <c r="D43" s="40">
        <f>D44+D45+D46</f>
        <v>21038500.28</v>
      </c>
      <c r="E43" s="40">
        <f>E44+E45+E46</f>
        <v>17630465.48</v>
      </c>
      <c r="F43" s="40">
        <f>F44+F45+F46</f>
        <v>14617570.86</v>
      </c>
      <c r="G43" s="40">
        <f>G44+G45+G46</f>
        <v>15202273.700000001</v>
      </c>
      <c r="H43" s="41">
        <f t="shared" si="4"/>
        <v>0.9635155266374633</v>
      </c>
      <c r="I43" s="41">
        <f>E43/D43</f>
        <v>0.8380096131072704</v>
      </c>
      <c r="J43" s="41">
        <f t="shared" si="5"/>
        <v>0.8291086174997575</v>
      </c>
      <c r="K43" s="41">
        <f t="shared" si="5"/>
        <v>1.0400000003831007</v>
      </c>
    </row>
    <row r="44" spans="1:11" ht="76.5">
      <c r="A44" s="36" t="s">
        <v>83</v>
      </c>
      <c r="B44" s="44" t="s">
        <v>84</v>
      </c>
      <c r="C44" s="16">
        <v>11623054.18</v>
      </c>
      <c r="D44" s="16">
        <v>8522921.39</v>
      </c>
      <c r="E44" s="16">
        <v>5956766.25</v>
      </c>
      <c r="F44" s="16">
        <v>5967258.66</v>
      </c>
      <c r="G44" s="16">
        <v>6205949.01</v>
      </c>
      <c r="H44" s="35">
        <f t="shared" si="4"/>
        <v>0.7332772658554364</v>
      </c>
      <c r="I44" s="35">
        <f>E44/D44</f>
        <v>0.698911321297544</v>
      </c>
      <c r="J44" s="35">
        <f t="shared" si="5"/>
        <v>1.001761427183751</v>
      </c>
      <c r="K44" s="35">
        <f t="shared" si="5"/>
        <v>1.0400000006032921</v>
      </c>
    </row>
    <row r="45" spans="1:11" ht="76.5">
      <c r="A45" s="36" t="s">
        <v>85</v>
      </c>
      <c r="B45" s="44" t="s">
        <v>86</v>
      </c>
      <c r="C45" s="16">
        <v>3549154.59</v>
      </c>
      <c r="D45" s="16">
        <v>4377859.47</v>
      </c>
      <c r="E45" s="16">
        <v>3134813.47</v>
      </c>
      <c r="F45" s="16">
        <v>2983054.76</v>
      </c>
      <c r="G45" s="16">
        <v>3102376.95</v>
      </c>
      <c r="H45" s="35">
        <f t="shared" si="4"/>
        <v>1.2334935993870022</v>
      </c>
      <c r="I45" s="35">
        <f>E45/D45</f>
        <v>0.7160607807267053</v>
      </c>
      <c r="J45" s="35">
        <f t="shared" si="5"/>
        <v>0.9515892376205719</v>
      </c>
      <c r="K45" s="35">
        <f t="shared" si="5"/>
        <v>1.0399999998659093</v>
      </c>
    </row>
    <row r="46" spans="1:11" ht="38.25">
      <c r="A46" s="36" t="s">
        <v>87</v>
      </c>
      <c r="B46" s="44" t="s">
        <v>88</v>
      </c>
      <c r="C46" s="16">
        <v>6662935.24</v>
      </c>
      <c r="D46" s="16">
        <v>8137719.42</v>
      </c>
      <c r="E46" s="16">
        <v>8538885.76</v>
      </c>
      <c r="F46" s="16">
        <v>5667257.44</v>
      </c>
      <c r="G46" s="16">
        <v>5893947.74</v>
      </c>
      <c r="H46" s="35">
        <f t="shared" si="4"/>
        <v>1.2213415149446958</v>
      </c>
      <c r="I46" s="35">
        <f aca="true" t="shared" si="6" ref="I46:I54">E46/D46</f>
        <v>1.0492971457106344</v>
      </c>
      <c r="J46" s="35">
        <f t="shared" si="5"/>
        <v>0.6636998783316667</v>
      </c>
      <c r="K46" s="35">
        <f t="shared" si="5"/>
        <v>1.0400000004234853</v>
      </c>
    </row>
    <row r="47" spans="1:11" ht="51">
      <c r="A47" s="36" t="s">
        <v>93</v>
      </c>
      <c r="B47" s="25" t="s">
        <v>94</v>
      </c>
      <c r="C47" s="16">
        <v>640141.56</v>
      </c>
      <c r="D47" s="16">
        <v>45874</v>
      </c>
      <c r="E47" s="16">
        <v>330440</v>
      </c>
      <c r="F47" s="16">
        <v>388700</v>
      </c>
      <c r="G47" s="16">
        <v>380400</v>
      </c>
      <c r="H47" s="35">
        <f t="shared" si="4"/>
        <v>0.07166227420072523</v>
      </c>
      <c r="I47" s="35">
        <f t="shared" si="6"/>
        <v>7.203208789292409</v>
      </c>
      <c r="J47" s="35">
        <f t="shared" si="5"/>
        <v>1.1763103740467256</v>
      </c>
      <c r="K47" s="35">
        <f t="shared" si="5"/>
        <v>0.9786467712889118</v>
      </c>
    </row>
    <row r="48" spans="1:11" ht="76.5">
      <c r="A48" s="36" t="s">
        <v>95</v>
      </c>
      <c r="B48" s="25" t="s">
        <v>96</v>
      </c>
      <c r="C48" s="16">
        <v>63551407.05</v>
      </c>
      <c r="D48" s="16">
        <v>65328181.66</v>
      </c>
      <c r="E48" s="16">
        <v>73758583.65</v>
      </c>
      <c r="F48" s="16">
        <v>75908480.94</v>
      </c>
      <c r="G48" s="16">
        <v>80952070.35</v>
      </c>
      <c r="H48" s="35">
        <f t="shared" si="4"/>
        <v>1.0279580687899184</v>
      </c>
      <c r="I48" s="35">
        <f t="shared" si="6"/>
        <v>1.1290469407808712</v>
      </c>
      <c r="J48" s="35">
        <f aca="true" t="shared" si="7" ref="J48:K56">F48/E48</f>
        <v>1.0291477572319137</v>
      </c>
      <c r="K48" s="35">
        <f t="shared" si="7"/>
        <v>1.06644302912591</v>
      </c>
    </row>
    <row r="49" spans="1:11" ht="12.75">
      <c r="A49" s="12" t="s">
        <v>26</v>
      </c>
      <c r="B49" s="24" t="s">
        <v>27</v>
      </c>
      <c r="C49" s="14">
        <f>C50</f>
        <v>2331595.6900000004</v>
      </c>
      <c r="D49" s="14">
        <f>D50</f>
        <v>2915100</v>
      </c>
      <c r="E49" s="14">
        <f>E50</f>
        <v>3339106</v>
      </c>
      <c r="F49" s="14">
        <f>F50</f>
        <v>3339106</v>
      </c>
      <c r="G49" s="14">
        <f>G50</f>
        <v>3339106</v>
      </c>
      <c r="H49" s="34">
        <f t="shared" si="4"/>
        <v>1.250259645144566</v>
      </c>
      <c r="I49" s="34">
        <f t="shared" si="6"/>
        <v>1.145451614009811</v>
      </c>
      <c r="J49" s="34">
        <f t="shared" si="7"/>
        <v>1</v>
      </c>
      <c r="K49" s="34">
        <f t="shared" si="7"/>
        <v>1</v>
      </c>
    </row>
    <row r="50" spans="1:11" s="19" customFormat="1" ht="25.5">
      <c r="A50" s="38" t="s">
        <v>28</v>
      </c>
      <c r="B50" s="47" t="s">
        <v>29</v>
      </c>
      <c r="C50" s="40">
        <f>C51+C52+C53+C54</f>
        <v>2331595.6900000004</v>
      </c>
      <c r="D50" s="40">
        <f>D51+D52+D53+D54</f>
        <v>2915100</v>
      </c>
      <c r="E50" s="40">
        <f>E51+E52+E53+E54</f>
        <v>3339106</v>
      </c>
      <c r="F50" s="40">
        <f>F51+F52+F53+F54</f>
        <v>3339106</v>
      </c>
      <c r="G50" s="40">
        <f>G51+G52+G53+G54</f>
        <v>3339106</v>
      </c>
      <c r="H50" s="41">
        <f t="shared" si="4"/>
        <v>1.250259645144566</v>
      </c>
      <c r="I50" s="41">
        <f t="shared" si="6"/>
        <v>1.145451614009811</v>
      </c>
      <c r="J50" s="41">
        <f t="shared" si="7"/>
        <v>1</v>
      </c>
      <c r="K50" s="41">
        <f t="shared" si="7"/>
        <v>1</v>
      </c>
    </row>
    <row r="51" spans="1:11" ht="25.5">
      <c r="A51" s="36" t="s">
        <v>97</v>
      </c>
      <c r="B51" s="18" t="s">
        <v>98</v>
      </c>
      <c r="C51" s="16">
        <v>589469.52</v>
      </c>
      <c r="D51" s="16">
        <v>559250</v>
      </c>
      <c r="E51" s="16">
        <v>603990</v>
      </c>
      <c r="F51" s="16">
        <v>603990</v>
      </c>
      <c r="G51" s="16">
        <v>603990</v>
      </c>
      <c r="H51" s="35">
        <f t="shared" si="4"/>
        <v>0.9487343807021608</v>
      </c>
      <c r="I51" s="35">
        <f t="shared" si="6"/>
        <v>1.08</v>
      </c>
      <c r="J51" s="35">
        <f t="shared" si="7"/>
        <v>1</v>
      </c>
      <c r="K51" s="35">
        <f t="shared" si="7"/>
        <v>1</v>
      </c>
    </row>
    <row r="52" spans="1:11" ht="25.5">
      <c r="A52" s="36" t="s">
        <v>99</v>
      </c>
      <c r="B52" s="18" t="s">
        <v>100</v>
      </c>
      <c r="C52" s="16">
        <v>1654906.01</v>
      </c>
      <c r="D52" s="16">
        <v>1971250</v>
      </c>
      <c r="E52" s="16">
        <v>2353698</v>
      </c>
      <c r="F52" s="16">
        <v>2353698</v>
      </c>
      <c r="G52" s="16">
        <v>2353698</v>
      </c>
      <c r="H52" s="35">
        <f t="shared" si="4"/>
        <v>1.191155260835629</v>
      </c>
      <c r="I52" s="35">
        <f t="shared" si="6"/>
        <v>1.1940129359543437</v>
      </c>
      <c r="J52" s="35">
        <f t="shared" si="7"/>
        <v>1</v>
      </c>
      <c r="K52" s="35">
        <f t="shared" si="7"/>
        <v>1</v>
      </c>
    </row>
    <row r="53" spans="1:11" ht="18.75" customHeight="1">
      <c r="A53" s="36" t="s">
        <v>126</v>
      </c>
      <c r="B53" s="18" t="s">
        <v>127</v>
      </c>
      <c r="C53" s="16">
        <v>87220.16</v>
      </c>
      <c r="D53" s="16">
        <v>382600</v>
      </c>
      <c r="E53" s="16">
        <v>379258</v>
      </c>
      <c r="F53" s="16">
        <v>379258</v>
      </c>
      <c r="G53" s="16">
        <v>379258</v>
      </c>
      <c r="H53" s="35">
        <f t="shared" si="4"/>
        <v>4.386600529051999</v>
      </c>
      <c r="I53" s="35">
        <f t="shared" si="6"/>
        <v>0.9912650287506535</v>
      </c>
      <c r="J53" s="35">
        <f>F53/E53</f>
        <v>1</v>
      </c>
      <c r="K53" s="35">
        <f t="shared" si="7"/>
        <v>1</v>
      </c>
    </row>
    <row r="54" spans="1:11" ht="18.75" customHeight="1">
      <c r="A54" s="36" t="s">
        <v>129</v>
      </c>
      <c r="B54" s="18" t="s">
        <v>130</v>
      </c>
      <c r="C54" s="16">
        <v>0</v>
      </c>
      <c r="D54" s="16">
        <v>2000</v>
      </c>
      <c r="E54" s="16">
        <v>2160</v>
      </c>
      <c r="F54" s="16">
        <v>2160</v>
      </c>
      <c r="G54" s="16">
        <v>2160</v>
      </c>
      <c r="H54" s="35" t="s">
        <v>62</v>
      </c>
      <c r="I54" s="35">
        <f t="shared" si="6"/>
        <v>1.08</v>
      </c>
      <c r="J54" s="35">
        <f>F54/E54</f>
        <v>1</v>
      </c>
      <c r="K54" s="35">
        <f t="shared" si="7"/>
        <v>1</v>
      </c>
    </row>
    <row r="55" spans="1:11" ht="25.5">
      <c r="A55" s="12" t="s">
        <v>25</v>
      </c>
      <c r="B55" s="24" t="s">
        <v>30</v>
      </c>
      <c r="C55" s="14">
        <f>C56+C57</f>
        <v>1253684.6900000002</v>
      </c>
      <c r="D55" s="14">
        <f>D56+D57</f>
        <v>1293219.8199999998</v>
      </c>
      <c r="E55" s="14">
        <f>E56+E57</f>
        <v>1072624.71</v>
      </c>
      <c r="F55" s="14">
        <f>F56+F57</f>
        <v>813784.12</v>
      </c>
      <c r="G55" s="14">
        <f>G56+G57</f>
        <v>813784.12</v>
      </c>
      <c r="H55" s="34">
        <f t="shared" si="4"/>
        <v>1.0315351462096898</v>
      </c>
      <c r="I55" s="34">
        <f aca="true" t="shared" si="8" ref="I55:I62">E55/D55</f>
        <v>0.829421799304004</v>
      </c>
      <c r="J55" s="34">
        <f t="shared" si="7"/>
        <v>0.7586848525986316</v>
      </c>
      <c r="K55" s="34">
        <f t="shared" si="7"/>
        <v>1</v>
      </c>
    </row>
    <row r="56" spans="1:11" ht="25.5">
      <c r="A56" s="36" t="s">
        <v>101</v>
      </c>
      <c r="B56" s="25" t="s">
        <v>102</v>
      </c>
      <c r="C56" s="16">
        <v>91869.3</v>
      </c>
      <c r="D56" s="16">
        <v>206024</v>
      </c>
      <c r="E56" s="16">
        <v>220050</v>
      </c>
      <c r="F56" s="16">
        <v>140121</v>
      </c>
      <c r="G56" s="16">
        <v>140121</v>
      </c>
      <c r="H56" s="35">
        <f t="shared" si="4"/>
        <v>2.242577226559906</v>
      </c>
      <c r="I56" s="35">
        <f t="shared" si="8"/>
        <v>1.0680794470547121</v>
      </c>
      <c r="J56" s="35">
        <f t="shared" si="7"/>
        <v>0.6367689161554192</v>
      </c>
      <c r="K56" s="35">
        <f t="shared" si="7"/>
        <v>1</v>
      </c>
    </row>
    <row r="57" spans="1:11" s="19" customFormat="1" ht="12.75">
      <c r="A57" s="38" t="s">
        <v>11</v>
      </c>
      <c r="B57" s="47" t="s">
        <v>10</v>
      </c>
      <c r="C57" s="40">
        <f>C58+C59</f>
        <v>1161815.3900000001</v>
      </c>
      <c r="D57" s="40">
        <f>D58+D59</f>
        <v>1087195.8199999998</v>
      </c>
      <c r="E57" s="40">
        <f>E58+E59</f>
        <v>852574.71</v>
      </c>
      <c r="F57" s="40">
        <f>F58+F59</f>
        <v>673663.12</v>
      </c>
      <c r="G57" s="40">
        <f>G58+G59</f>
        <v>673663.12</v>
      </c>
      <c r="H57" s="41">
        <f aca="true" t="shared" si="9" ref="H57:H63">D57/C57</f>
        <v>0.9357732987165884</v>
      </c>
      <c r="I57" s="41">
        <f t="shared" si="8"/>
        <v>0.7841960889805483</v>
      </c>
      <c r="J57" s="41">
        <f aca="true" t="shared" si="10" ref="J57:K62">F57/E57</f>
        <v>0.7901514226243</v>
      </c>
      <c r="K57" s="41">
        <f t="shared" si="10"/>
        <v>1</v>
      </c>
    </row>
    <row r="58" spans="1:11" ht="38.25">
      <c r="A58" s="36" t="s">
        <v>103</v>
      </c>
      <c r="B58" s="25" t="s">
        <v>104</v>
      </c>
      <c r="C58" s="16">
        <v>275239.86</v>
      </c>
      <c r="D58" s="16">
        <v>282646.94</v>
      </c>
      <c r="E58" s="16">
        <v>303452.44</v>
      </c>
      <c r="F58" s="16">
        <v>301820.47</v>
      </c>
      <c r="G58" s="16">
        <v>301820.47</v>
      </c>
      <c r="H58" s="35">
        <f t="shared" si="9"/>
        <v>1.0269113637828475</v>
      </c>
      <c r="I58" s="35">
        <f t="shared" si="8"/>
        <v>1.0736095002479065</v>
      </c>
      <c r="J58" s="35">
        <f t="shared" si="10"/>
        <v>0.9946219908464073</v>
      </c>
      <c r="K58" s="35">
        <f t="shared" si="10"/>
        <v>1</v>
      </c>
    </row>
    <row r="59" spans="1:11" ht="25.5">
      <c r="A59" s="36" t="s">
        <v>105</v>
      </c>
      <c r="B59" s="25" t="s">
        <v>106</v>
      </c>
      <c r="C59" s="16">
        <v>886575.53</v>
      </c>
      <c r="D59" s="16">
        <f>799470.07+500+79.6+4499.21</f>
        <v>804548.8799999999</v>
      </c>
      <c r="E59" s="16">
        <v>549122.27</v>
      </c>
      <c r="F59" s="16">
        <v>371842.65</v>
      </c>
      <c r="G59" s="16">
        <v>371842.65</v>
      </c>
      <c r="H59" s="35">
        <f t="shared" si="9"/>
        <v>0.907479230788154</v>
      </c>
      <c r="I59" s="35">
        <f t="shared" si="8"/>
        <v>0.6825219494432707</v>
      </c>
      <c r="J59" s="35">
        <f t="shared" si="10"/>
        <v>0.6771582037639814</v>
      </c>
      <c r="K59" s="35">
        <f t="shared" si="10"/>
        <v>1</v>
      </c>
    </row>
    <row r="60" spans="1:11" ht="25.5">
      <c r="A60" s="12" t="s">
        <v>31</v>
      </c>
      <c r="B60" s="24" t="s">
        <v>32</v>
      </c>
      <c r="C60" s="14">
        <f>C61</f>
        <v>9657942.56</v>
      </c>
      <c r="D60" s="14">
        <f>D61</f>
        <v>14156777.31</v>
      </c>
      <c r="E60" s="14">
        <f>E61</f>
        <v>6990645.82</v>
      </c>
      <c r="F60" s="14">
        <f>F61</f>
        <v>3013225.81</v>
      </c>
      <c r="G60" s="14">
        <f>G61</f>
        <v>2600955.31</v>
      </c>
      <c r="H60" s="34">
        <f t="shared" si="9"/>
        <v>1.4658170953131036</v>
      </c>
      <c r="I60" s="34">
        <f t="shared" si="8"/>
        <v>0.49380206150887035</v>
      </c>
      <c r="J60" s="34">
        <f t="shared" si="10"/>
        <v>0.4310368294413176</v>
      </c>
      <c r="K60" s="34">
        <f t="shared" si="10"/>
        <v>0.863179686490207</v>
      </c>
    </row>
    <row r="61" spans="1:11" ht="89.25">
      <c r="A61" s="36" t="s">
        <v>107</v>
      </c>
      <c r="B61" s="18" t="s">
        <v>108</v>
      </c>
      <c r="C61" s="16">
        <v>9657942.56</v>
      </c>
      <c r="D61" s="16">
        <v>14156777.31</v>
      </c>
      <c r="E61" s="16">
        <v>6990645.82</v>
      </c>
      <c r="F61" s="16">
        <v>3013225.81</v>
      </c>
      <c r="G61" s="16">
        <v>2600955.31</v>
      </c>
      <c r="H61" s="35">
        <f t="shared" si="9"/>
        <v>1.4658170953131036</v>
      </c>
      <c r="I61" s="35">
        <f t="shared" si="8"/>
        <v>0.49380206150887035</v>
      </c>
      <c r="J61" s="35">
        <f t="shared" si="10"/>
        <v>0.4310368294413176</v>
      </c>
      <c r="K61" s="35">
        <f t="shared" si="10"/>
        <v>0.863179686490207</v>
      </c>
    </row>
    <row r="62" spans="1:11" ht="12.75">
      <c r="A62" s="7" t="s">
        <v>33</v>
      </c>
      <c r="B62" s="26" t="s">
        <v>1</v>
      </c>
      <c r="C62" s="9">
        <f>C64+C65+C66+C68+C69+C70+C71+C72+C73+C74+C75+C76+C77+C78+C80+C81+C82+C83+C79+C67</f>
        <v>3042206.19</v>
      </c>
      <c r="D62" s="9">
        <f>D64+D65+D66+D68+D69+D70+D71+D72+D73+D74+D75+D76+D77+D78+D80+D81+D82+D83+D79+D67</f>
        <v>4100552.89</v>
      </c>
      <c r="E62" s="9">
        <f>E64+E65+E66+E68+E69+E70+E71+E72+E73+E74+E75+E76+E77+E78+E80+E81+E82+E83+E79+E67</f>
        <v>3926551.0399999996</v>
      </c>
      <c r="F62" s="9">
        <f>F64+F65+F66+F68+F69+F70+F71+F72+F73+F74+F75+F76+F77+F78+F80+F81+F82+F83+F79+F67</f>
        <v>962157.52</v>
      </c>
      <c r="G62" s="9">
        <f>G64+G65+G66+G68+G69+G70+G71+G72+G73+G74+G75+G76+G77+G78+G80+G81+G82+G83+G79+G67</f>
        <v>961257.52</v>
      </c>
      <c r="H62" s="34">
        <f t="shared" si="9"/>
        <v>1.3478878925034337</v>
      </c>
      <c r="I62" s="34">
        <f t="shared" si="8"/>
        <v>0.9575662466336337</v>
      </c>
      <c r="J62" s="34">
        <f t="shared" si="10"/>
        <v>0.24503884202661483</v>
      </c>
      <c r="K62" s="34">
        <f t="shared" si="10"/>
        <v>0.9990646022285415</v>
      </c>
    </row>
    <row r="63" spans="1:11" ht="38.25" hidden="1">
      <c r="A63" s="4" t="s">
        <v>109</v>
      </c>
      <c r="B63" s="27" t="s">
        <v>110</v>
      </c>
      <c r="C63" s="28">
        <v>2740251.36</v>
      </c>
      <c r="D63" s="28">
        <v>0</v>
      </c>
      <c r="E63" s="28">
        <v>0</v>
      </c>
      <c r="F63" s="28">
        <v>0</v>
      </c>
      <c r="G63" s="28">
        <v>0</v>
      </c>
      <c r="H63" s="35">
        <f t="shared" si="9"/>
        <v>0</v>
      </c>
      <c r="I63" s="35" t="e">
        <f aca="true" t="shared" si="11" ref="I63:K79">E63/D63</f>
        <v>#DIV/0!</v>
      </c>
      <c r="J63" s="35" t="e">
        <f t="shared" si="11"/>
        <v>#DIV/0!</v>
      </c>
      <c r="K63" s="35" t="e">
        <f t="shared" si="11"/>
        <v>#DIV/0!</v>
      </c>
    </row>
    <row r="64" spans="1:11" ht="76.5">
      <c r="A64" s="4" t="s">
        <v>176</v>
      </c>
      <c r="B64" s="27" t="s">
        <v>175</v>
      </c>
      <c r="C64" s="28">
        <v>98891.15</v>
      </c>
      <c r="D64" s="28">
        <f>130482+4846</f>
        <v>135328</v>
      </c>
      <c r="E64" s="28">
        <f>63670</f>
        <v>63670</v>
      </c>
      <c r="F64" s="28">
        <f>63670</f>
        <v>63670</v>
      </c>
      <c r="G64" s="28">
        <f>63670</f>
        <v>63670</v>
      </c>
      <c r="H64" s="35">
        <f>D64/C64</f>
        <v>1.3684541033247162</v>
      </c>
      <c r="I64" s="35">
        <f>E64/D64</f>
        <v>0.47048652163632065</v>
      </c>
      <c r="J64" s="35">
        <f t="shared" si="11"/>
        <v>1</v>
      </c>
      <c r="K64" s="35">
        <f t="shared" si="11"/>
        <v>1</v>
      </c>
    </row>
    <row r="65" spans="1:11" ht="102">
      <c r="A65" s="4" t="s">
        <v>177</v>
      </c>
      <c r="B65" s="27" t="s">
        <v>219</v>
      </c>
      <c r="C65" s="28">
        <v>18500</v>
      </c>
      <c r="D65" s="28">
        <f>11850+250</f>
        <v>12100</v>
      </c>
      <c r="E65" s="28">
        <f>15800</f>
        <v>15800</v>
      </c>
      <c r="F65" s="28">
        <f>15800</f>
        <v>15800</v>
      </c>
      <c r="G65" s="28">
        <f>15800</f>
        <v>15800</v>
      </c>
      <c r="H65" s="35">
        <f aca="true" t="shared" si="12" ref="H65:H83">D65/C65</f>
        <v>0.654054054054054</v>
      </c>
      <c r="I65" s="35">
        <f aca="true" t="shared" si="13" ref="I65:I83">E65/D65</f>
        <v>1.3057851239669422</v>
      </c>
      <c r="J65" s="35">
        <f t="shared" si="11"/>
        <v>1</v>
      </c>
      <c r="K65" s="35">
        <f t="shared" si="11"/>
        <v>1</v>
      </c>
    </row>
    <row r="66" spans="1:11" ht="76.5">
      <c r="A66" s="4" t="s">
        <v>178</v>
      </c>
      <c r="B66" s="27" t="s">
        <v>179</v>
      </c>
      <c r="C66" s="28">
        <v>2536.6</v>
      </c>
      <c r="D66" s="28">
        <f>3221+500</f>
        <v>3721</v>
      </c>
      <c r="E66" s="28">
        <f>1390</f>
        <v>1390</v>
      </c>
      <c r="F66" s="28">
        <f>1390</f>
        <v>1390</v>
      </c>
      <c r="G66" s="28">
        <f>1390</f>
        <v>1390</v>
      </c>
      <c r="H66" s="35">
        <f t="shared" si="12"/>
        <v>1.4669242292832927</v>
      </c>
      <c r="I66" s="35">
        <f t="shared" si="13"/>
        <v>0.3735554958344531</v>
      </c>
      <c r="J66" s="35">
        <f t="shared" si="11"/>
        <v>1</v>
      </c>
      <c r="K66" s="35">
        <f t="shared" si="11"/>
        <v>1</v>
      </c>
    </row>
    <row r="67" spans="1:11" ht="76.5">
      <c r="A67" s="4" t="s">
        <v>239</v>
      </c>
      <c r="B67" s="27" t="s">
        <v>240</v>
      </c>
      <c r="C67" s="28">
        <v>0</v>
      </c>
      <c r="D67" s="28">
        <v>40000</v>
      </c>
      <c r="E67" s="28">
        <v>60000</v>
      </c>
      <c r="F67" s="28">
        <v>60000</v>
      </c>
      <c r="G67" s="28">
        <v>60000</v>
      </c>
      <c r="H67" s="35" t="s">
        <v>62</v>
      </c>
      <c r="I67" s="35">
        <f t="shared" si="13"/>
        <v>1.5</v>
      </c>
      <c r="J67" s="35">
        <f t="shared" si="11"/>
        <v>1</v>
      </c>
      <c r="K67" s="35">
        <f t="shared" si="11"/>
        <v>1</v>
      </c>
    </row>
    <row r="68" spans="1:11" ht="89.25">
      <c r="A68" s="4" t="s">
        <v>180</v>
      </c>
      <c r="B68" s="27" t="s">
        <v>220</v>
      </c>
      <c r="C68" s="28">
        <v>6408.61</v>
      </c>
      <c r="D68" s="28">
        <f>71</f>
        <v>71</v>
      </c>
      <c r="E68" s="28">
        <f>4050</f>
        <v>4050</v>
      </c>
      <c r="F68" s="28">
        <f>4050</f>
        <v>4050</v>
      </c>
      <c r="G68" s="28">
        <f>4050</f>
        <v>4050</v>
      </c>
      <c r="H68" s="35">
        <f t="shared" si="12"/>
        <v>0.011078845490675825</v>
      </c>
      <c r="I68" s="35">
        <f t="shared" si="13"/>
        <v>57.04225352112676</v>
      </c>
      <c r="J68" s="35">
        <f t="shared" si="11"/>
        <v>1</v>
      </c>
      <c r="K68" s="35">
        <f t="shared" si="11"/>
        <v>1</v>
      </c>
    </row>
    <row r="69" spans="1:11" ht="89.25">
      <c r="A69" s="4" t="s">
        <v>181</v>
      </c>
      <c r="B69" s="27" t="s">
        <v>182</v>
      </c>
      <c r="C69" s="28">
        <v>10000</v>
      </c>
      <c r="D69" s="28">
        <v>0</v>
      </c>
      <c r="E69" s="28">
        <f>6320</f>
        <v>6320</v>
      </c>
      <c r="F69" s="28">
        <f>6320</f>
        <v>6320</v>
      </c>
      <c r="G69" s="28">
        <f>6320</f>
        <v>6320</v>
      </c>
      <c r="H69" s="35">
        <f t="shared" si="12"/>
        <v>0</v>
      </c>
      <c r="I69" s="35" t="s">
        <v>62</v>
      </c>
      <c r="J69" s="35">
        <f t="shared" si="11"/>
        <v>1</v>
      </c>
      <c r="K69" s="35">
        <f t="shared" si="11"/>
        <v>1</v>
      </c>
    </row>
    <row r="70" spans="1:11" ht="76.5">
      <c r="A70" s="4" t="s">
        <v>237</v>
      </c>
      <c r="B70" s="27" t="s">
        <v>238</v>
      </c>
      <c r="C70" s="28">
        <v>0</v>
      </c>
      <c r="D70" s="28">
        <v>1500</v>
      </c>
      <c r="E70" s="28">
        <f>950</f>
        <v>950</v>
      </c>
      <c r="F70" s="28">
        <f>950</f>
        <v>950</v>
      </c>
      <c r="G70" s="28">
        <f>950</f>
        <v>950</v>
      </c>
      <c r="H70" s="35" t="s">
        <v>62</v>
      </c>
      <c r="I70" s="35">
        <f t="shared" si="13"/>
        <v>0.6333333333333333</v>
      </c>
      <c r="J70" s="35">
        <f t="shared" si="11"/>
        <v>1</v>
      </c>
      <c r="K70" s="35">
        <f t="shared" si="11"/>
        <v>1</v>
      </c>
    </row>
    <row r="71" spans="1:11" ht="102">
      <c r="A71" s="4" t="s">
        <v>183</v>
      </c>
      <c r="B71" s="27" t="s">
        <v>184</v>
      </c>
      <c r="C71" s="28">
        <v>58250</v>
      </c>
      <c r="D71" s="28">
        <f>102000</f>
        <v>102000</v>
      </c>
      <c r="E71" s="28">
        <f>163160</f>
        <v>163160</v>
      </c>
      <c r="F71" s="28">
        <f>163160</f>
        <v>163160</v>
      </c>
      <c r="G71" s="28">
        <f>163160</f>
        <v>163160</v>
      </c>
      <c r="H71" s="35">
        <f t="shared" si="12"/>
        <v>1.7510729613733906</v>
      </c>
      <c r="I71" s="35">
        <f t="shared" si="13"/>
        <v>1.599607843137255</v>
      </c>
      <c r="J71" s="35">
        <f t="shared" si="11"/>
        <v>1</v>
      </c>
      <c r="K71" s="35">
        <f t="shared" si="11"/>
        <v>1</v>
      </c>
    </row>
    <row r="72" spans="1:11" ht="140.25">
      <c r="A72" s="4" t="s">
        <v>185</v>
      </c>
      <c r="B72" s="27" t="s">
        <v>221</v>
      </c>
      <c r="C72" s="28">
        <v>8362.41</v>
      </c>
      <c r="D72" s="28">
        <f>4350</f>
        <v>4350</v>
      </c>
      <c r="E72" s="28">
        <f>6200</f>
        <v>6200</v>
      </c>
      <c r="F72" s="28">
        <f>6200</f>
        <v>6200</v>
      </c>
      <c r="G72" s="28">
        <f>6200</f>
        <v>6200</v>
      </c>
      <c r="H72" s="35">
        <f t="shared" si="12"/>
        <v>0.5201849706005804</v>
      </c>
      <c r="I72" s="35">
        <f t="shared" si="13"/>
        <v>1.4252873563218391</v>
      </c>
      <c r="J72" s="35">
        <f t="shared" si="11"/>
        <v>1</v>
      </c>
      <c r="K72" s="35">
        <f t="shared" si="11"/>
        <v>1</v>
      </c>
    </row>
    <row r="73" spans="1:11" ht="89.25">
      <c r="A73" s="4" t="s">
        <v>186</v>
      </c>
      <c r="B73" s="27" t="s">
        <v>222</v>
      </c>
      <c r="C73" s="28">
        <v>1340.17</v>
      </c>
      <c r="D73" s="28">
        <f>6000</f>
        <v>6000</v>
      </c>
      <c r="E73" s="28">
        <f>5190</f>
        <v>5190</v>
      </c>
      <c r="F73" s="28">
        <f>5190</f>
        <v>5190</v>
      </c>
      <c r="G73" s="28">
        <f>5190</f>
        <v>5190</v>
      </c>
      <c r="H73" s="35">
        <f t="shared" si="12"/>
        <v>4.4770439571099185</v>
      </c>
      <c r="I73" s="35">
        <f t="shared" si="13"/>
        <v>0.865</v>
      </c>
      <c r="J73" s="35">
        <f t="shared" si="11"/>
        <v>1</v>
      </c>
      <c r="K73" s="35">
        <f t="shared" si="11"/>
        <v>1</v>
      </c>
    </row>
    <row r="74" spans="1:11" ht="114.75">
      <c r="A74" s="4" t="s">
        <v>187</v>
      </c>
      <c r="B74" s="27" t="s">
        <v>223</v>
      </c>
      <c r="C74" s="28">
        <v>500</v>
      </c>
      <c r="D74" s="28">
        <v>0</v>
      </c>
      <c r="E74" s="28">
        <f>320</f>
        <v>320</v>
      </c>
      <c r="F74" s="28">
        <f>320</f>
        <v>320</v>
      </c>
      <c r="G74" s="28">
        <f>320</f>
        <v>320</v>
      </c>
      <c r="H74" s="35">
        <f t="shared" si="12"/>
        <v>0</v>
      </c>
      <c r="I74" s="35" t="s">
        <v>62</v>
      </c>
      <c r="J74" s="35">
        <f t="shared" si="11"/>
        <v>1</v>
      </c>
      <c r="K74" s="35">
        <f t="shared" si="11"/>
        <v>1</v>
      </c>
    </row>
    <row r="75" spans="1:11" ht="108" customHeight="1">
      <c r="A75" s="4" t="s">
        <v>188</v>
      </c>
      <c r="B75" s="27" t="s">
        <v>224</v>
      </c>
      <c r="C75" s="28">
        <v>229060.54</v>
      </c>
      <c r="D75" s="28">
        <f>385600</f>
        <v>385600</v>
      </c>
      <c r="E75" s="28">
        <f>338010</f>
        <v>338010</v>
      </c>
      <c r="F75" s="28">
        <f>338010</f>
        <v>338010</v>
      </c>
      <c r="G75" s="28">
        <f>338010</f>
        <v>338010</v>
      </c>
      <c r="H75" s="35">
        <f t="shared" si="12"/>
        <v>1.683397760260235</v>
      </c>
      <c r="I75" s="35">
        <f t="shared" si="13"/>
        <v>0.8765819502074689</v>
      </c>
      <c r="J75" s="35">
        <f t="shared" si="11"/>
        <v>1</v>
      </c>
      <c r="K75" s="35">
        <f t="shared" si="11"/>
        <v>1</v>
      </c>
    </row>
    <row r="76" spans="1:11" ht="76.5">
      <c r="A76" s="4" t="s">
        <v>189</v>
      </c>
      <c r="B76" s="27" t="s">
        <v>225</v>
      </c>
      <c r="C76" s="28">
        <v>500</v>
      </c>
      <c r="D76" s="28">
        <v>700</v>
      </c>
      <c r="E76" s="28">
        <v>700</v>
      </c>
      <c r="F76" s="28">
        <v>700</v>
      </c>
      <c r="G76" s="28">
        <v>700</v>
      </c>
      <c r="H76" s="35">
        <f t="shared" si="12"/>
        <v>1.4</v>
      </c>
      <c r="I76" s="35">
        <f t="shared" si="13"/>
        <v>1</v>
      </c>
      <c r="J76" s="35">
        <f t="shared" si="11"/>
        <v>1</v>
      </c>
      <c r="K76" s="35">
        <f t="shared" si="11"/>
        <v>1</v>
      </c>
    </row>
    <row r="77" spans="1:11" ht="89.25">
      <c r="A77" s="4" t="s">
        <v>190</v>
      </c>
      <c r="B77" s="27" t="s">
        <v>191</v>
      </c>
      <c r="C77" s="28">
        <v>198137.36</v>
      </c>
      <c r="D77" s="28">
        <f>210649+1001</f>
        <v>211650</v>
      </c>
      <c r="E77" s="28">
        <f>152770</f>
        <v>152770</v>
      </c>
      <c r="F77" s="28">
        <f>152770</f>
        <v>152770</v>
      </c>
      <c r="G77" s="28">
        <f>152770</f>
        <v>152770</v>
      </c>
      <c r="H77" s="35">
        <f t="shared" si="12"/>
        <v>1.0681983448250245</v>
      </c>
      <c r="I77" s="35">
        <f t="shared" si="13"/>
        <v>0.7218048665249233</v>
      </c>
      <c r="J77" s="35">
        <f t="shared" si="11"/>
        <v>1</v>
      </c>
      <c r="K77" s="35">
        <f t="shared" si="11"/>
        <v>1</v>
      </c>
    </row>
    <row r="78" spans="1:11" ht="140.25">
      <c r="A78" s="4" t="s">
        <v>192</v>
      </c>
      <c r="B78" s="27" t="s">
        <v>226</v>
      </c>
      <c r="C78" s="28">
        <v>125000</v>
      </c>
      <c r="D78" s="28">
        <v>39500</v>
      </c>
      <c r="E78" s="28">
        <v>0</v>
      </c>
      <c r="F78" s="28">
        <v>0</v>
      </c>
      <c r="G78" s="28">
        <v>0</v>
      </c>
      <c r="H78" s="35">
        <f t="shared" si="12"/>
        <v>0.316</v>
      </c>
      <c r="I78" s="35">
        <f t="shared" si="13"/>
        <v>0</v>
      </c>
      <c r="J78" s="35" t="s">
        <v>62</v>
      </c>
      <c r="K78" s="35" t="s">
        <v>62</v>
      </c>
    </row>
    <row r="79" spans="1:11" ht="51">
      <c r="A79" s="4" t="s">
        <v>199</v>
      </c>
      <c r="B79" s="27" t="s">
        <v>200</v>
      </c>
      <c r="C79" s="28">
        <v>94100</v>
      </c>
      <c r="D79" s="28">
        <f>140000</f>
        <v>140000</v>
      </c>
      <c r="E79" s="28">
        <v>320000</v>
      </c>
      <c r="F79" s="28">
        <v>90000</v>
      </c>
      <c r="G79" s="28">
        <v>90000</v>
      </c>
      <c r="H79" s="35">
        <f t="shared" si="12"/>
        <v>1.487778958554729</v>
      </c>
      <c r="I79" s="35">
        <f t="shared" si="13"/>
        <v>2.2857142857142856</v>
      </c>
      <c r="J79" s="35">
        <f t="shared" si="11"/>
        <v>0.28125</v>
      </c>
      <c r="K79" s="35">
        <f t="shared" si="11"/>
        <v>1</v>
      </c>
    </row>
    <row r="80" spans="1:11" ht="76.5">
      <c r="A80" s="4" t="s">
        <v>193</v>
      </c>
      <c r="B80" s="27" t="s">
        <v>194</v>
      </c>
      <c r="C80" s="28">
        <v>300401.92</v>
      </c>
      <c r="D80" s="28">
        <v>215000</v>
      </c>
      <c r="E80" s="28">
        <v>125000</v>
      </c>
      <c r="F80" s="28">
        <v>0</v>
      </c>
      <c r="G80" s="28">
        <v>0</v>
      </c>
      <c r="H80" s="35">
        <f t="shared" si="12"/>
        <v>0.7157078090579448</v>
      </c>
      <c r="I80" s="35">
        <f t="shared" si="13"/>
        <v>0.5813953488372093</v>
      </c>
      <c r="J80" s="35">
        <f aca="true" t="shared" si="14" ref="J80:K83">F80/E80</f>
        <v>0</v>
      </c>
      <c r="K80" s="35" t="s">
        <v>62</v>
      </c>
    </row>
    <row r="81" spans="1:11" ht="76.5">
      <c r="A81" s="4" t="s">
        <v>195</v>
      </c>
      <c r="B81" s="27" t="s">
        <v>196</v>
      </c>
      <c r="C81" s="28">
        <v>457171.47</v>
      </c>
      <c r="D81" s="28">
        <f>533000+12000</f>
        <v>545000</v>
      </c>
      <c r="E81" s="28">
        <f>112014.92+12000</f>
        <v>124014.92</v>
      </c>
      <c r="F81" s="28">
        <f>37827.52+12000</f>
        <v>49827.52</v>
      </c>
      <c r="G81" s="28">
        <f>37827.52+12000</f>
        <v>49827.52</v>
      </c>
      <c r="H81" s="35">
        <f t="shared" si="12"/>
        <v>1.192112884909463</v>
      </c>
      <c r="I81" s="35">
        <f t="shared" si="13"/>
        <v>0.2275503119266055</v>
      </c>
      <c r="J81" s="35">
        <f t="shared" si="14"/>
        <v>0.4017864947217641</v>
      </c>
      <c r="K81" s="35">
        <f t="shared" si="14"/>
        <v>1</v>
      </c>
    </row>
    <row r="82" spans="1:11" ht="63.75">
      <c r="A82" s="4" t="s">
        <v>197</v>
      </c>
      <c r="B82" s="27" t="s">
        <v>228</v>
      </c>
      <c r="C82" s="28">
        <v>1428805.37</v>
      </c>
      <c r="D82" s="28">
        <f>10000+315274.45+10500+10772+1908186.44</f>
        <v>2254732.89</v>
      </c>
      <c r="E82" s="28">
        <f>55698.03+2477908.09</f>
        <v>2533606.1199999996</v>
      </c>
      <c r="F82" s="28">
        <v>0</v>
      </c>
      <c r="G82" s="28">
        <v>0</v>
      </c>
      <c r="H82" s="35">
        <f t="shared" si="12"/>
        <v>1.5780546023563726</v>
      </c>
      <c r="I82" s="35">
        <f t="shared" si="13"/>
        <v>1.1236834887346676</v>
      </c>
      <c r="J82" s="35">
        <f t="shared" si="14"/>
        <v>0</v>
      </c>
      <c r="K82" s="35" t="s">
        <v>62</v>
      </c>
    </row>
    <row r="83" spans="1:11" ht="76.5">
      <c r="A83" s="4" t="s">
        <v>198</v>
      </c>
      <c r="B83" s="27" t="s">
        <v>227</v>
      </c>
      <c r="C83" s="28">
        <v>4240.59</v>
      </c>
      <c r="D83" s="28">
        <v>3300</v>
      </c>
      <c r="E83" s="28">
        <v>5400</v>
      </c>
      <c r="F83" s="28">
        <v>3800</v>
      </c>
      <c r="G83" s="28">
        <v>2900</v>
      </c>
      <c r="H83" s="35">
        <f t="shared" si="12"/>
        <v>0.7781936004188096</v>
      </c>
      <c r="I83" s="35">
        <f t="shared" si="13"/>
        <v>1.6363636363636365</v>
      </c>
      <c r="J83" s="35">
        <f t="shared" si="14"/>
        <v>0.7037037037037037</v>
      </c>
      <c r="K83" s="35">
        <f t="shared" si="14"/>
        <v>0.7631578947368421</v>
      </c>
    </row>
    <row r="84" spans="1:11" s="32" customFormat="1" ht="12.75">
      <c r="A84" s="12" t="s">
        <v>56</v>
      </c>
      <c r="B84" s="24" t="s">
        <v>57</v>
      </c>
      <c r="C84" s="9">
        <f>C85</f>
        <v>-557.98</v>
      </c>
      <c r="D84" s="9">
        <f>D85</f>
        <v>0</v>
      </c>
      <c r="E84" s="9">
        <f>E85</f>
        <v>0</v>
      </c>
      <c r="F84" s="9">
        <f>F85</f>
        <v>0</v>
      </c>
      <c r="G84" s="9">
        <f>G85</f>
        <v>0</v>
      </c>
      <c r="H84" s="34" t="s">
        <v>62</v>
      </c>
      <c r="I84" s="34" t="s">
        <v>62</v>
      </c>
      <c r="J84" s="34" t="s">
        <v>62</v>
      </c>
      <c r="K84" s="34" t="s">
        <v>62</v>
      </c>
    </row>
    <row r="85" spans="1:11" ht="25.5">
      <c r="A85" s="15" t="s">
        <v>111</v>
      </c>
      <c r="B85" s="25" t="s">
        <v>112</v>
      </c>
      <c r="C85" s="28">
        <v>-557.98</v>
      </c>
      <c r="D85" s="28">
        <v>0</v>
      </c>
      <c r="E85" s="28">
        <v>0</v>
      </c>
      <c r="F85" s="28">
        <v>0</v>
      </c>
      <c r="G85" s="28">
        <v>0</v>
      </c>
      <c r="H85" s="35" t="s">
        <v>62</v>
      </c>
      <c r="I85" s="35" t="s">
        <v>62</v>
      </c>
      <c r="J85" s="35" t="s">
        <v>62</v>
      </c>
      <c r="K85" s="35" t="s">
        <v>62</v>
      </c>
    </row>
    <row r="86" spans="1:11" ht="17.25" customHeight="1">
      <c r="A86" s="7" t="s">
        <v>2</v>
      </c>
      <c r="B86" s="29" t="s">
        <v>3</v>
      </c>
      <c r="C86" s="9">
        <f>C87+C122+C123+C120</f>
        <v>1906089828.36</v>
      </c>
      <c r="D86" s="9">
        <f>D87+D122+D123+D120</f>
        <v>2588654722.7400002</v>
      </c>
      <c r="E86" s="9">
        <f>E87+E122+E123+E120</f>
        <v>2591934439.75</v>
      </c>
      <c r="F86" s="9">
        <f>F87+F122+F123+F120</f>
        <v>2148469055.24</v>
      </c>
      <c r="G86" s="9">
        <f>G87+G122+G123+G120</f>
        <v>2027275507.8799999</v>
      </c>
      <c r="H86" s="34">
        <f aca="true" t="shared" si="15" ref="H86:I102">D86/C86</f>
        <v>1.3580969187413792</v>
      </c>
      <c r="I86" s="34">
        <f t="shared" si="15"/>
        <v>1.0012669580771778</v>
      </c>
      <c r="J86" s="34">
        <f aca="true" t="shared" si="16" ref="J86:K90">F86/E86</f>
        <v>0.8289056321375267</v>
      </c>
      <c r="K86" s="34">
        <f t="shared" si="16"/>
        <v>0.9435907410142048</v>
      </c>
    </row>
    <row r="87" spans="1:13" ht="30.75" customHeight="1">
      <c r="A87" s="7" t="s">
        <v>4</v>
      </c>
      <c r="B87" s="8" t="s">
        <v>5</v>
      </c>
      <c r="C87" s="11">
        <f>C88+C93+C104+C112</f>
        <v>1906498589.1</v>
      </c>
      <c r="D87" s="11">
        <f>D88+D93+D104+D112</f>
        <v>2588654722.7400002</v>
      </c>
      <c r="E87" s="11">
        <f>E88+E93+E104+E112</f>
        <v>2591934439.75</v>
      </c>
      <c r="F87" s="11">
        <f>F88+F93+F104+F112</f>
        <v>2148469055.24</v>
      </c>
      <c r="G87" s="11">
        <f>G88+G93+G104+G112</f>
        <v>2027275507.8799999</v>
      </c>
      <c r="H87" s="34">
        <f t="shared" si="15"/>
        <v>1.357805737460328</v>
      </c>
      <c r="I87" s="34">
        <f t="shared" si="15"/>
        <v>1.0012669580771778</v>
      </c>
      <c r="J87" s="34">
        <f t="shared" si="16"/>
        <v>0.8289056321375267</v>
      </c>
      <c r="K87" s="34">
        <f t="shared" si="16"/>
        <v>0.9435907410142048</v>
      </c>
      <c r="M87" s="3"/>
    </row>
    <row r="88" spans="1:11" ht="29.25" customHeight="1">
      <c r="A88" s="31" t="s">
        <v>154</v>
      </c>
      <c r="B88" s="8" t="s">
        <v>54</v>
      </c>
      <c r="C88" s="9">
        <f>C89+C91+C90+C92</f>
        <v>677036139</v>
      </c>
      <c r="D88" s="9">
        <f>D89+D91+D90+D92</f>
        <v>743320149</v>
      </c>
      <c r="E88" s="9">
        <f>E89+E91+E90+E92</f>
        <v>784040599</v>
      </c>
      <c r="F88" s="9">
        <f>F89+F91+F90+F92</f>
        <v>625801778</v>
      </c>
      <c r="G88" s="9">
        <f>G89+G91+G90+G92</f>
        <v>606538997</v>
      </c>
      <c r="H88" s="34">
        <f t="shared" si="15"/>
        <v>1.0979032080885716</v>
      </c>
      <c r="I88" s="34">
        <f t="shared" si="15"/>
        <v>1.0547818460925373</v>
      </c>
      <c r="J88" s="34">
        <f t="shared" si="16"/>
        <v>0.7981752205155896</v>
      </c>
      <c r="K88" s="34">
        <f t="shared" si="16"/>
        <v>0.969219037597557</v>
      </c>
    </row>
    <row r="89" spans="1:11" ht="34.5" customHeight="1">
      <c r="A89" s="4" t="s">
        <v>155</v>
      </c>
      <c r="B89" s="27" t="s">
        <v>116</v>
      </c>
      <c r="C89" s="28">
        <v>0</v>
      </c>
      <c r="D89" s="28">
        <v>35873900</v>
      </c>
      <c r="E89" s="28">
        <v>114812828</v>
      </c>
      <c r="F89" s="28">
        <v>108064778</v>
      </c>
      <c r="G89" s="28">
        <v>88118997</v>
      </c>
      <c r="H89" s="35" t="s">
        <v>62</v>
      </c>
      <c r="I89" s="35">
        <f t="shared" si="15"/>
        <v>3.2004557073526994</v>
      </c>
      <c r="J89" s="35">
        <f t="shared" si="16"/>
        <v>0.9412256442285352</v>
      </c>
      <c r="K89" s="35">
        <f t="shared" si="16"/>
        <v>0.8154275484654213</v>
      </c>
    </row>
    <row r="90" spans="1:11" ht="34.5" customHeight="1">
      <c r="A90" s="4" t="s">
        <v>156</v>
      </c>
      <c r="B90" s="27" t="s">
        <v>117</v>
      </c>
      <c r="C90" s="28">
        <v>45497139</v>
      </c>
      <c r="D90" s="28">
        <v>59720249</v>
      </c>
      <c r="E90" s="28">
        <v>21202771</v>
      </c>
      <c r="F90" s="28">
        <v>0</v>
      </c>
      <c r="G90" s="28">
        <v>0</v>
      </c>
      <c r="H90" s="35">
        <f t="shared" si="15"/>
        <v>1.3126154811624529</v>
      </c>
      <c r="I90" s="35">
        <f t="shared" si="15"/>
        <v>0.35503487267777467</v>
      </c>
      <c r="J90" s="35">
        <f t="shared" si="16"/>
        <v>0</v>
      </c>
      <c r="K90" s="35" t="s">
        <v>62</v>
      </c>
    </row>
    <row r="91" spans="1:11" ht="51">
      <c r="A91" s="4" t="s">
        <v>157</v>
      </c>
      <c r="B91" s="27" t="s">
        <v>118</v>
      </c>
      <c r="C91" s="28">
        <v>630539000</v>
      </c>
      <c r="D91" s="28">
        <v>647726000</v>
      </c>
      <c r="E91" s="28">
        <v>648025000</v>
      </c>
      <c r="F91" s="28">
        <v>517737000</v>
      </c>
      <c r="G91" s="28">
        <v>518420000</v>
      </c>
      <c r="H91" s="35">
        <f t="shared" si="15"/>
        <v>1.0272576319624955</v>
      </c>
      <c r="I91" s="35">
        <f t="shared" si="15"/>
        <v>1.0004616149421206</v>
      </c>
      <c r="J91" s="35">
        <f>F91/E91</f>
        <v>0.7989460283168087</v>
      </c>
      <c r="K91" s="35">
        <f>G91/F91</f>
        <v>1.0013192026067288</v>
      </c>
    </row>
    <row r="92" spans="1:11" ht="44.25" customHeight="1">
      <c r="A92" s="4" t="s">
        <v>229</v>
      </c>
      <c r="B92" s="27" t="s">
        <v>230</v>
      </c>
      <c r="C92" s="28">
        <v>1000000</v>
      </c>
      <c r="D92" s="28">
        <v>0</v>
      </c>
      <c r="E92" s="28">
        <v>0</v>
      </c>
      <c r="F92" s="28">
        <v>0</v>
      </c>
      <c r="G92" s="28">
        <v>0</v>
      </c>
      <c r="H92" s="35">
        <f t="shared" si="15"/>
        <v>0</v>
      </c>
      <c r="I92" s="35" t="s">
        <v>62</v>
      </c>
      <c r="J92" s="35" t="s">
        <v>62</v>
      </c>
      <c r="K92" s="35" t="s">
        <v>62</v>
      </c>
    </row>
    <row r="93" spans="1:11" ht="32.25" customHeight="1">
      <c r="A93" s="31" t="s">
        <v>158</v>
      </c>
      <c r="B93" s="26" t="s">
        <v>0</v>
      </c>
      <c r="C93" s="9">
        <f>C94+C101+C102+C103+C95+C98+C99+C97+C96+C100</f>
        <v>256972522.04999998</v>
      </c>
      <c r="D93" s="9">
        <f>D94+D101+D102+D103+D95+D98+D99+D97+D96+D100</f>
        <v>344739916.66</v>
      </c>
      <c r="E93" s="9">
        <f>E94+E101+E102+E103+E95+E98+E99+E97+E96+E100</f>
        <v>418312110.6</v>
      </c>
      <c r="F93" s="9">
        <f>F94+F101+F102+F103+F95+F98+F99+F97+F96+F100</f>
        <v>261830289.26</v>
      </c>
      <c r="G93" s="9">
        <f>G94+G101+G102+G103+G95+G98+G99+G97+G96+G100</f>
        <v>250177708.78</v>
      </c>
      <c r="H93" s="34">
        <f t="shared" si="15"/>
        <v>1.341543889244792</v>
      </c>
      <c r="I93" s="34">
        <f t="shared" si="15"/>
        <v>1.213413621064835</v>
      </c>
      <c r="J93" s="34">
        <f>F93/E93</f>
        <v>0.6259208916625614</v>
      </c>
      <c r="K93" s="34">
        <f>G93/F93</f>
        <v>0.955495674266972</v>
      </c>
    </row>
    <row r="94" spans="1:11" ht="48.75" customHeight="1">
      <c r="A94" s="4" t="s">
        <v>139</v>
      </c>
      <c r="B94" s="54" t="s">
        <v>131</v>
      </c>
      <c r="C94" s="28">
        <v>5610600.95</v>
      </c>
      <c r="D94" s="28">
        <f>23305560+8232636.67</f>
        <v>31538196.67</v>
      </c>
      <c r="E94" s="28">
        <v>6475000</v>
      </c>
      <c r="F94" s="28">
        <v>0</v>
      </c>
      <c r="G94" s="28">
        <v>0</v>
      </c>
      <c r="H94" s="35">
        <f t="shared" si="15"/>
        <v>5.621179790018751</v>
      </c>
      <c r="I94" s="35">
        <f t="shared" si="15"/>
        <v>0.2053066022687086</v>
      </c>
      <c r="J94" s="35">
        <f>F94/E94</f>
        <v>0</v>
      </c>
      <c r="K94" s="35" t="s">
        <v>62</v>
      </c>
    </row>
    <row r="95" spans="1:11" ht="93" customHeight="1">
      <c r="A95" s="4" t="s">
        <v>201</v>
      </c>
      <c r="B95" s="54" t="s">
        <v>202</v>
      </c>
      <c r="C95" s="28">
        <v>37652562.49</v>
      </c>
      <c r="D95" s="28">
        <v>52886439.61</v>
      </c>
      <c r="E95" s="28">
        <v>51988187.18</v>
      </c>
      <c r="F95" s="28">
        <v>31432364.06</v>
      </c>
      <c r="G95" s="28">
        <v>31432364.06</v>
      </c>
      <c r="H95" s="35">
        <f t="shared" si="15"/>
        <v>1.4045907134221185</v>
      </c>
      <c r="I95" s="35">
        <f t="shared" si="15"/>
        <v>0.9830154490144548</v>
      </c>
      <c r="J95" s="35">
        <f>F95/E95</f>
        <v>0.6046058877023532</v>
      </c>
      <c r="K95" s="35">
        <f>G95/F95</f>
        <v>1</v>
      </c>
    </row>
    <row r="96" spans="1:11" ht="63" customHeight="1">
      <c r="A96" s="4" t="s">
        <v>241</v>
      </c>
      <c r="B96" s="54" t="s">
        <v>242</v>
      </c>
      <c r="C96" s="28">
        <v>0</v>
      </c>
      <c r="D96" s="28">
        <v>0</v>
      </c>
      <c r="E96" s="28">
        <v>987207.45</v>
      </c>
      <c r="F96" s="28">
        <v>0</v>
      </c>
      <c r="G96" s="28">
        <v>1094228.72</v>
      </c>
      <c r="H96" s="35" t="s">
        <v>62</v>
      </c>
      <c r="I96" s="35" t="s">
        <v>62</v>
      </c>
      <c r="J96" s="35">
        <f>F96/E96</f>
        <v>0</v>
      </c>
      <c r="K96" s="35" t="s">
        <v>62</v>
      </c>
    </row>
    <row r="97" spans="1:11" ht="64.5" customHeight="1">
      <c r="A97" s="4" t="s">
        <v>146</v>
      </c>
      <c r="B97" s="54" t="s">
        <v>147</v>
      </c>
      <c r="C97" s="28">
        <v>3351173.89</v>
      </c>
      <c r="D97" s="28">
        <v>0</v>
      </c>
      <c r="E97" s="28">
        <v>0</v>
      </c>
      <c r="F97" s="28">
        <v>0</v>
      </c>
      <c r="G97" s="28">
        <v>0</v>
      </c>
      <c r="H97" s="35">
        <f t="shared" si="15"/>
        <v>0</v>
      </c>
      <c r="I97" s="35" t="s">
        <v>62</v>
      </c>
      <c r="J97" s="35" t="s">
        <v>62</v>
      </c>
      <c r="K97" s="35" t="s">
        <v>62</v>
      </c>
    </row>
    <row r="98" spans="1:11" ht="93" customHeight="1">
      <c r="A98" s="4" t="s">
        <v>203</v>
      </c>
      <c r="B98" s="54" t="s">
        <v>204</v>
      </c>
      <c r="C98" s="28">
        <v>0</v>
      </c>
      <c r="D98" s="28">
        <v>110350</v>
      </c>
      <c r="E98" s="28">
        <v>0</v>
      </c>
      <c r="F98" s="28">
        <v>0</v>
      </c>
      <c r="G98" s="28">
        <v>0</v>
      </c>
      <c r="H98" s="35" t="s">
        <v>62</v>
      </c>
      <c r="I98" s="35">
        <f t="shared" si="15"/>
        <v>0</v>
      </c>
      <c r="J98" s="35" t="s">
        <v>62</v>
      </c>
      <c r="K98" s="35" t="s">
        <v>62</v>
      </c>
    </row>
    <row r="99" spans="1:11" ht="70.5" customHeight="1">
      <c r="A99" s="4" t="s">
        <v>205</v>
      </c>
      <c r="B99" s="54" t="s">
        <v>206</v>
      </c>
      <c r="C99" s="28">
        <v>14603388.9</v>
      </c>
      <c r="D99" s="28">
        <f>35112585+4457400</f>
        <v>39569985</v>
      </c>
      <c r="E99" s="28">
        <v>41725899</v>
      </c>
      <c r="F99" s="28">
        <v>41606758</v>
      </c>
      <c r="G99" s="28">
        <v>42996601</v>
      </c>
      <c r="H99" s="35">
        <f t="shared" si="15"/>
        <v>2.7096439922927753</v>
      </c>
      <c r="I99" s="35">
        <f t="shared" si="15"/>
        <v>1.0544835687958942</v>
      </c>
      <c r="J99" s="35">
        <f>F99/E99</f>
        <v>0.9971446750614049</v>
      </c>
      <c r="K99" s="35">
        <f>G99/F99</f>
        <v>1.0334042609135756</v>
      </c>
    </row>
    <row r="100" spans="1:11" ht="39" customHeight="1">
      <c r="A100" s="37" t="s">
        <v>243</v>
      </c>
      <c r="B100" s="54" t="s">
        <v>244</v>
      </c>
      <c r="C100" s="28">
        <v>0</v>
      </c>
      <c r="D100" s="28">
        <v>0</v>
      </c>
      <c r="E100" s="28">
        <v>0</v>
      </c>
      <c r="F100" s="28">
        <v>3650120</v>
      </c>
      <c r="G100" s="28">
        <v>0</v>
      </c>
      <c r="H100" s="35" t="s">
        <v>62</v>
      </c>
      <c r="I100" s="35" t="s">
        <v>62</v>
      </c>
      <c r="J100" s="35" t="s">
        <v>62</v>
      </c>
      <c r="K100" s="35">
        <f>G100/F100</f>
        <v>0</v>
      </c>
    </row>
    <row r="101" spans="1:11" ht="32.25" customHeight="1">
      <c r="A101" s="37" t="s">
        <v>159</v>
      </c>
      <c r="B101" s="49" t="s">
        <v>113</v>
      </c>
      <c r="C101" s="28">
        <v>0</v>
      </c>
      <c r="D101" s="28">
        <f>6246945.21+6762521.8</f>
        <v>13009467.01</v>
      </c>
      <c r="E101" s="28">
        <v>0</v>
      </c>
      <c r="F101" s="28">
        <v>10407391.2</v>
      </c>
      <c r="G101" s="28">
        <v>0</v>
      </c>
      <c r="H101" s="35" t="s">
        <v>62</v>
      </c>
      <c r="I101" s="35">
        <f t="shared" si="15"/>
        <v>0</v>
      </c>
      <c r="J101" s="35" t="s">
        <v>62</v>
      </c>
      <c r="K101" s="35">
        <f>G101/F101</f>
        <v>0</v>
      </c>
    </row>
    <row r="102" spans="1:11" ht="58.5" customHeight="1">
      <c r="A102" s="37" t="s">
        <v>160</v>
      </c>
      <c r="B102" s="50" t="s">
        <v>114</v>
      </c>
      <c r="C102" s="28">
        <v>19520000</v>
      </c>
      <c r="D102" s="28">
        <v>0</v>
      </c>
      <c r="E102" s="28">
        <v>0</v>
      </c>
      <c r="F102" s="28">
        <v>0</v>
      </c>
      <c r="G102" s="28">
        <v>0</v>
      </c>
      <c r="H102" s="35">
        <f>D102/C102</f>
        <v>0</v>
      </c>
      <c r="I102" s="35" t="s">
        <v>62</v>
      </c>
      <c r="J102" s="35" t="s">
        <v>62</v>
      </c>
      <c r="K102" s="35" t="s">
        <v>62</v>
      </c>
    </row>
    <row r="103" spans="1:11" ht="23.25" customHeight="1">
      <c r="A103" s="4" t="s">
        <v>161</v>
      </c>
      <c r="B103" s="30" t="s">
        <v>119</v>
      </c>
      <c r="C103" s="28">
        <v>176234795.82</v>
      </c>
      <c r="D103" s="28">
        <f>1975500+3260900+2100366.66+24733520+117003532+28397.5+1461361.14+25000000+4531606.52+4114410+16022051.55+4810000+2583833</f>
        <v>207625478.37</v>
      </c>
      <c r="E103" s="28">
        <v>317135816.97</v>
      </c>
      <c r="F103" s="28">
        <v>174733656</v>
      </c>
      <c r="G103" s="28">
        <v>174654515</v>
      </c>
      <c r="H103" s="35">
        <f aca="true" t="shared" si="17" ref="H103:K105">D103/C103</f>
        <v>1.1781185287726117</v>
      </c>
      <c r="I103" s="35">
        <f t="shared" si="17"/>
        <v>1.527441716015443</v>
      </c>
      <c r="J103" s="35">
        <f t="shared" si="17"/>
        <v>0.5509742093133845</v>
      </c>
      <c r="K103" s="35">
        <f t="shared" si="17"/>
        <v>0.999547076380065</v>
      </c>
    </row>
    <row r="104" spans="1:11" ht="35.25" customHeight="1">
      <c r="A104" s="31" t="s">
        <v>162</v>
      </c>
      <c r="B104" s="26" t="s">
        <v>55</v>
      </c>
      <c r="C104" s="9">
        <f>C106+C107+C108+C110+C105+C111+C109</f>
        <v>939686148.99</v>
      </c>
      <c r="D104" s="9">
        <f>D106+D107+D108+D110+D105+D111+D109</f>
        <v>1048986724.87</v>
      </c>
      <c r="E104" s="9">
        <f>E106+E107+E108+E110+E105+E111+E109</f>
        <v>1082787680.15</v>
      </c>
      <c r="F104" s="9">
        <f>F106+F107+F108+F110+F105+F111+F109</f>
        <v>1105532927.98</v>
      </c>
      <c r="G104" s="9">
        <f>G106+G107+G108+G110+G105+G111+G109</f>
        <v>1128334942.1</v>
      </c>
      <c r="H104" s="34">
        <f t="shared" si="17"/>
        <v>1.1163160444553526</v>
      </c>
      <c r="I104" s="34">
        <f t="shared" si="17"/>
        <v>1.03222248144674</v>
      </c>
      <c r="J104" s="34">
        <f t="shared" si="17"/>
        <v>1.0210061937783121</v>
      </c>
      <c r="K104" s="34">
        <f t="shared" si="17"/>
        <v>1.02062535953738</v>
      </c>
    </row>
    <row r="105" spans="1:11" ht="40.5" customHeight="1">
      <c r="A105" s="4" t="s">
        <v>140</v>
      </c>
      <c r="B105" s="30" t="s">
        <v>141</v>
      </c>
      <c r="C105" s="28">
        <v>31127599.5</v>
      </c>
      <c r="D105" s="28">
        <f>2148000+7518000+228400+911916+613200+6000+13418600+1461100+519500+2232800+195062+85565.94+305000+37799+6249859+35700+107400</f>
        <v>36073901.94</v>
      </c>
      <c r="E105" s="28">
        <v>43542237.1</v>
      </c>
      <c r="F105" s="28">
        <v>45016575.62</v>
      </c>
      <c r="G105" s="28">
        <v>46261278.61</v>
      </c>
      <c r="H105" s="35">
        <f t="shared" si="17"/>
        <v>1.158904076107764</v>
      </c>
      <c r="I105" s="35">
        <f aca="true" t="shared" si="18" ref="I105:K110">E105/D105</f>
        <v>1.2070287592515423</v>
      </c>
      <c r="J105" s="35">
        <f t="shared" si="18"/>
        <v>1.033859962606285</v>
      </c>
      <c r="K105" s="35">
        <f t="shared" si="18"/>
        <v>1.0276498816904012</v>
      </c>
    </row>
    <row r="106" spans="1:11" ht="51">
      <c r="A106" s="4" t="s">
        <v>163</v>
      </c>
      <c r="B106" s="27" t="s">
        <v>120</v>
      </c>
      <c r="C106" s="28">
        <v>31943506.34</v>
      </c>
      <c r="D106" s="28">
        <v>33595600</v>
      </c>
      <c r="E106" s="28">
        <v>38873300</v>
      </c>
      <c r="F106" s="28">
        <v>41102000</v>
      </c>
      <c r="G106" s="28">
        <v>42148200</v>
      </c>
      <c r="H106" s="35">
        <f>D106/C106</f>
        <v>1.0517192333995982</v>
      </c>
      <c r="I106" s="35">
        <f t="shared" si="18"/>
        <v>1.1570949767231422</v>
      </c>
      <c r="J106" s="35">
        <f t="shared" si="18"/>
        <v>1.057332410677766</v>
      </c>
      <c r="K106" s="35">
        <f t="shared" si="18"/>
        <v>1.0254537492092841</v>
      </c>
    </row>
    <row r="107" spans="1:11" ht="76.5">
      <c r="A107" s="4" t="s">
        <v>164</v>
      </c>
      <c r="B107" s="27" t="s">
        <v>121</v>
      </c>
      <c r="C107" s="28">
        <v>13394273.02</v>
      </c>
      <c r="D107" s="28">
        <f>17394600+434900</f>
        <v>17829500</v>
      </c>
      <c r="E107" s="28">
        <v>19209100</v>
      </c>
      <c r="F107" s="28">
        <v>19209100</v>
      </c>
      <c r="G107" s="28">
        <v>19209100</v>
      </c>
      <c r="H107" s="35">
        <f>D107/C107</f>
        <v>1.3311286079787554</v>
      </c>
      <c r="I107" s="35">
        <f t="shared" si="18"/>
        <v>1.0773773801845257</v>
      </c>
      <c r="J107" s="35">
        <f t="shared" si="18"/>
        <v>1</v>
      </c>
      <c r="K107" s="35">
        <f t="shared" si="18"/>
        <v>1</v>
      </c>
    </row>
    <row r="108" spans="1:11" ht="55.5" customHeight="1">
      <c r="A108" s="4" t="s">
        <v>165</v>
      </c>
      <c r="B108" s="30" t="s">
        <v>128</v>
      </c>
      <c r="C108" s="28">
        <v>4757</v>
      </c>
      <c r="D108" s="28">
        <v>3934.93</v>
      </c>
      <c r="E108" s="28">
        <v>38496.05</v>
      </c>
      <c r="F108" s="28">
        <v>1433.36</v>
      </c>
      <c r="G108" s="28">
        <v>1288.49</v>
      </c>
      <c r="H108" s="35">
        <f>D108/C108</f>
        <v>0.8271873029220096</v>
      </c>
      <c r="I108" s="35">
        <f t="shared" si="18"/>
        <v>9.78316005621447</v>
      </c>
      <c r="J108" s="35">
        <f t="shared" si="18"/>
        <v>0.037233949976685915</v>
      </c>
      <c r="K108" s="35">
        <f t="shared" si="18"/>
        <v>0.8989297873527935</v>
      </c>
    </row>
    <row r="109" spans="1:11" ht="30" customHeight="1">
      <c r="A109" s="4" t="s">
        <v>148</v>
      </c>
      <c r="B109" s="30" t="s">
        <v>149</v>
      </c>
      <c r="C109" s="28">
        <v>0</v>
      </c>
      <c r="D109" s="28">
        <v>666000</v>
      </c>
      <c r="E109" s="28">
        <v>0</v>
      </c>
      <c r="F109" s="28">
        <v>0</v>
      </c>
      <c r="G109" s="28">
        <v>0</v>
      </c>
      <c r="H109" s="35" t="s">
        <v>62</v>
      </c>
      <c r="I109" s="35">
        <f t="shared" si="18"/>
        <v>0</v>
      </c>
      <c r="J109" s="35" t="s">
        <v>62</v>
      </c>
      <c r="K109" s="35" t="s">
        <v>62</v>
      </c>
    </row>
    <row r="110" spans="1:11" ht="42.75" customHeight="1">
      <c r="A110" s="4" t="s">
        <v>166</v>
      </c>
      <c r="B110" s="30" t="s">
        <v>122</v>
      </c>
      <c r="C110" s="28">
        <v>2549513.13</v>
      </c>
      <c r="D110" s="28">
        <v>2211088</v>
      </c>
      <c r="E110" s="28">
        <v>2243147</v>
      </c>
      <c r="F110" s="28">
        <v>2737619</v>
      </c>
      <c r="G110" s="28">
        <v>2844775</v>
      </c>
      <c r="H110" s="35">
        <f>D110/C110</f>
        <v>0.8672589185685033</v>
      </c>
      <c r="I110" s="35">
        <f aca="true" t="shared" si="19" ref="H110:K111">E110/D110</f>
        <v>1.0144991967755241</v>
      </c>
      <c r="J110" s="35">
        <f t="shared" si="19"/>
        <v>1.2204367346411091</v>
      </c>
      <c r="K110" s="35">
        <f t="shared" si="18"/>
        <v>1.0391420427751268</v>
      </c>
    </row>
    <row r="111" spans="1:11" ht="24.75" customHeight="1">
      <c r="A111" s="4" t="s">
        <v>142</v>
      </c>
      <c r="B111" s="30" t="s">
        <v>143</v>
      </c>
      <c r="C111" s="28">
        <v>860666500</v>
      </c>
      <c r="D111" s="28">
        <v>958606700</v>
      </c>
      <c r="E111" s="28">
        <v>978881400</v>
      </c>
      <c r="F111" s="28">
        <v>997466200</v>
      </c>
      <c r="G111" s="28">
        <v>1017870300</v>
      </c>
      <c r="H111" s="35">
        <f t="shared" si="19"/>
        <v>1.113795761772998</v>
      </c>
      <c r="I111" s="35">
        <f t="shared" si="19"/>
        <v>1.0211501755620944</v>
      </c>
      <c r="J111" s="35">
        <f t="shared" si="19"/>
        <v>1.0189857525130215</v>
      </c>
      <c r="K111" s="35">
        <f t="shared" si="19"/>
        <v>1.0204559312385724</v>
      </c>
    </row>
    <row r="112" spans="1:11" s="32" customFormat="1" ht="29.25" customHeight="1">
      <c r="A112" s="31" t="s">
        <v>167</v>
      </c>
      <c r="B112" s="26" t="s">
        <v>6</v>
      </c>
      <c r="C112" s="9">
        <f>C119+C116+C115+C113+C114+C118+C117</f>
        <v>32803779.060000002</v>
      </c>
      <c r="D112" s="9">
        <f>D119+D116+D115+D113+D114+D118+D117</f>
        <v>451607932.21</v>
      </c>
      <c r="E112" s="9">
        <f>E119+E116+E115+E113+E114+E118+E117</f>
        <v>306794050</v>
      </c>
      <c r="F112" s="9">
        <f>F119+F116+F115+F113+F114+F118+F117</f>
        <v>155304060</v>
      </c>
      <c r="G112" s="9">
        <f>G119+G116+G115+G113+G114+G118+G117</f>
        <v>42223860</v>
      </c>
      <c r="H112" s="34">
        <f aca="true" t="shared" si="20" ref="H112:H123">D112/C112</f>
        <v>13.766948356284898</v>
      </c>
      <c r="I112" s="34">
        <f>E112/D112</f>
        <v>0.6793371597763239</v>
      </c>
      <c r="J112" s="34">
        <f aca="true" t="shared" si="21" ref="J112:J119">F112/E112</f>
        <v>0.5062160103822092</v>
      </c>
      <c r="K112" s="34">
        <f>G112/F112</f>
        <v>0.27187866176840453</v>
      </c>
    </row>
    <row r="113" spans="1:11" ht="67.5" customHeight="1">
      <c r="A113" s="4" t="s">
        <v>207</v>
      </c>
      <c r="B113" s="30" t="s">
        <v>208</v>
      </c>
      <c r="C113" s="28">
        <v>14000198.64</v>
      </c>
      <c r="D113" s="28">
        <f>40388040+1835820</f>
        <v>42223860</v>
      </c>
      <c r="E113" s="28">
        <v>42223860</v>
      </c>
      <c r="F113" s="28">
        <v>42223860</v>
      </c>
      <c r="G113" s="28">
        <v>42223860</v>
      </c>
      <c r="H113" s="35">
        <f t="shared" si="20"/>
        <v>3.015947208017614</v>
      </c>
      <c r="I113" s="35">
        <f>E113/D113</f>
        <v>1</v>
      </c>
      <c r="J113" s="35">
        <f t="shared" si="21"/>
        <v>1</v>
      </c>
      <c r="K113" s="35">
        <f>G113/F113</f>
        <v>1</v>
      </c>
    </row>
    <row r="114" spans="1:11" ht="67.5" customHeight="1">
      <c r="A114" s="4" t="s">
        <v>209</v>
      </c>
      <c r="B114" s="30" t="s">
        <v>210</v>
      </c>
      <c r="C114" s="28">
        <v>0</v>
      </c>
      <c r="D114" s="28">
        <f>162210000+19185015.08</f>
        <v>181395015.07999998</v>
      </c>
      <c r="E114" s="28">
        <v>44330000</v>
      </c>
      <c r="F114" s="28">
        <v>0</v>
      </c>
      <c r="G114" s="28">
        <v>0</v>
      </c>
      <c r="H114" s="35" t="s">
        <v>62</v>
      </c>
      <c r="I114" s="35">
        <f aca="true" t="shared" si="22" ref="I114:I119">E114/D114</f>
        <v>0.2443837829857083</v>
      </c>
      <c r="J114" s="35">
        <f t="shared" si="21"/>
        <v>0</v>
      </c>
      <c r="K114" s="35" t="s">
        <v>62</v>
      </c>
    </row>
    <row r="115" spans="1:11" ht="45.75" customHeight="1">
      <c r="A115" s="4" t="s">
        <v>150</v>
      </c>
      <c r="B115" s="30" t="s">
        <v>151</v>
      </c>
      <c r="C115" s="28">
        <v>1000000</v>
      </c>
      <c r="D115" s="28">
        <v>0</v>
      </c>
      <c r="E115" s="28">
        <v>0</v>
      </c>
      <c r="F115" s="28">
        <v>0</v>
      </c>
      <c r="G115" s="28">
        <v>0</v>
      </c>
      <c r="H115" s="35">
        <f t="shared" si="20"/>
        <v>0</v>
      </c>
      <c r="I115" s="35" t="s">
        <v>62</v>
      </c>
      <c r="J115" s="35" t="s">
        <v>62</v>
      </c>
      <c r="K115" s="35" t="s">
        <v>62</v>
      </c>
    </row>
    <row r="116" spans="1:11" ht="42.75" customHeight="1">
      <c r="A116" s="4" t="s">
        <v>144</v>
      </c>
      <c r="B116" s="30" t="s">
        <v>145</v>
      </c>
      <c r="C116" s="28">
        <v>0</v>
      </c>
      <c r="D116" s="28">
        <v>0</v>
      </c>
      <c r="E116" s="28">
        <v>5000000</v>
      </c>
      <c r="F116" s="28">
        <v>0</v>
      </c>
      <c r="G116" s="28">
        <v>0</v>
      </c>
      <c r="H116" s="35" t="s">
        <v>62</v>
      </c>
      <c r="I116" s="35" t="s">
        <v>62</v>
      </c>
      <c r="J116" s="35">
        <f t="shared" si="21"/>
        <v>0</v>
      </c>
      <c r="K116" s="35" t="s">
        <v>62</v>
      </c>
    </row>
    <row r="117" spans="1:11" ht="42.75" customHeight="1">
      <c r="A117" s="4" t="s">
        <v>233</v>
      </c>
      <c r="B117" s="30" t="s">
        <v>234</v>
      </c>
      <c r="C117" s="28">
        <v>0</v>
      </c>
      <c r="D117" s="28">
        <f>3166700+134166810+31716570+8744100</f>
        <v>177794180</v>
      </c>
      <c r="E117" s="28">
        <v>197240190</v>
      </c>
      <c r="F117" s="28">
        <v>113080200</v>
      </c>
      <c r="G117" s="28">
        <v>0</v>
      </c>
      <c r="H117" s="35" t="s">
        <v>62</v>
      </c>
      <c r="I117" s="35">
        <f t="shared" si="22"/>
        <v>1.1093737151576053</v>
      </c>
      <c r="J117" s="35">
        <f t="shared" si="21"/>
        <v>0.5733121632056833</v>
      </c>
      <c r="K117" s="35">
        <f aca="true" t="shared" si="23" ref="K114:K119">G117/F117</f>
        <v>0</v>
      </c>
    </row>
    <row r="118" spans="1:11" ht="42.75" customHeight="1">
      <c r="A118" s="4" t="s">
        <v>231</v>
      </c>
      <c r="B118" s="30" t="s">
        <v>232</v>
      </c>
      <c r="C118" s="28">
        <v>109476</v>
      </c>
      <c r="D118" s="28">
        <v>0</v>
      </c>
      <c r="E118" s="28">
        <v>0</v>
      </c>
      <c r="F118" s="28">
        <v>0</v>
      </c>
      <c r="G118" s="28">
        <v>0</v>
      </c>
      <c r="H118" s="35">
        <f t="shared" si="20"/>
        <v>0</v>
      </c>
      <c r="I118" s="35" t="s">
        <v>62</v>
      </c>
      <c r="J118" s="35" t="s">
        <v>62</v>
      </c>
      <c r="K118" s="35" t="s">
        <v>62</v>
      </c>
    </row>
    <row r="119" spans="1:11" ht="39" customHeight="1">
      <c r="A119" s="4" t="s">
        <v>168</v>
      </c>
      <c r="B119" s="30" t="s">
        <v>123</v>
      </c>
      <c r="C119" s="28">
        <v>17694104.42</v>
      </c>
      <c r="D119" s="28">
        <f>44961977.13+5232900</f>
        <v>50194877.13</v>
      </c>
      <c r="E119" s="28">
        <v>18000000</v>
      </c>
      <c r="F119" s="28">
        <v>0</v>
      </c>
      <c r="G119" s="28">
        <v>0</v>
      </c>
      <c r="H119" s="35">
        <f t="shared" si="20"/>
        <v>2.8368136605582435</v>
      </c>
      <c r="I119" s="35">
        <f t="shared" si="22"/>
        <v>0.3586023321340482</v>
      </c>
      <c r="J119" s="35">
        <f t="shared" si="21"/>
        <v>0</v>
      </c>
      <c r="K119" s="35" t="s">
        <v>62</v>
      </c>
    </row>
    <row r="120" spans="1:11" s="32" customFormat="1" ht="29.25" customHeight="1">
      <c r="A120" s="31" t="s">
        <v>169</v>
      </c>
      <c r="B120" s="26" t="s">
        <v>124</v>
      </c>
      <c r="C120" s="9">
        <f>C121</f>
        <v>0</v>
      </c>
      <c r="D120" s="9">
        <f>D121</f>
        <v>0</v>
      </c>
      <c r="E120" s="9">
        <f>E121</f>
        <v>0</v>
      </c>
      <c r="F120" s="9">
        <f>F121</f>
        <v>0</v>
      </c>
      <c r="G120" s="9">
        <f>G121</f>
        <v>0</v>
      </c>
      <c r="H120" s="34" t="s">
        <v>62</v>
      </c>
      <c r="I120" s="34" t="s">
        <v>62</v>
      </c>
      <c r="J120" s="34" t="s">
        <v>62</v>
      </c>
      <c r="K120" s="34" t="s">
        <v>62</v>
      </c>
    </row>
    <row r="121" spans="1:11" ht="28.5" customHeight="1">
      <c r="A121" s="4" t="s">
        <v>170</v>
      </c>
      <c r="B121" s="30" t="s">
        <v>125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35" t="s">
        <v>62</v>
      </c>
      <c r="I121" s="35" t="s">
        <v>62</v>
      </c>
      <c r="J121" s="35" t="s">
        <v>62</v>
      </c>
      <c r="K121" s="35" t="s">
        <v>62</v>
      </c>
    </row>
    <row r="122" spans="1:11" s="32" customFormat="1" ht="78.75" customHeight="1">
      <c r="A122" s="33" t="s">
        <v>58</v>
      </c>
      <c r="B122" s="26" t="s">
        <v>60</v>
      </c>
      <c r="C122" s="9">
        <v>3875.29</v>
      </c>
      <c r="D122" s="9">
        <v>0</v>
      </c>
      <c r="E122" s="9">
        <v>0</v>
      </c>
      <c r="F122" s="9">
        <v>0</v>
      </c>
      <c r="G122" s="9">
        <v>0</v>
      </c>
      <c r="H122" s="34">
        <f t="shared" si="20"/>
        <v>0</v>
      </c>
      <c r="I122" s="34" t="s">
        <v>62</v>
      </c>
      <c r="J122" s="34" t="s">
        <v>62</v>
      </c>
      <c r="K122" s="34" t="s">
        <v>62</v>
      </c>
    </row>
    <row r="123" spans="1:11" s="32" customFormat="1" ht="44.25" customHeight="1">
      <c r="A123" s="33" t="s">
        <v>59</v>
      </c>
      <c r="B123" s="26" t="s">
        <v>61</v>
      </c>
      <c r="C123" s="9">
        <v>-412636.03</v>
      </c>
      <c r="D123" s="9">
        <v>0</v>
      </c>
      <c r="E123" s="9">
        <v>0</v>
      </c>
      <c r="F123" s="9">
        <v>0</v>
      </c>
      <c r="G123" s="9">
        <v>0</v>
      </c>
      <c r="H123" s="34">
        <f t="shared" si="20"/>
        <v>0</v>
      </c>
      <c r="I123" s="34" t="s">
        <v>62</v>
      </c>
      <c r="J123" s="34" t="s">
        <v>62</v>
      </c>
      <c r="K123" s="34" t="s">
        <v>62</v>
      </c>
    </row>
    <row r="124" spans="1:11" ht="12.75">
      <c r="A124" s="55" t="s">
        <v>46</v>
      </c>
      <c r="B124" s="55"/>
      <c r="C124" s="9">
        <f>C7+C86</f>
        <v>2810235540.4399996</v>
      </c>
      <c r="D124" s="9">
        <f>D7+D86</f>
        <v>3532302011.63</v>
      </c>
      <c r="E124" s="9">
        <f>E7+E86</f>
        <v>3562447160.49</v>
      </c>
      <c r="F124" s="9">
        <f>F7+F86</f>
        <v>3159383447.64</v>
      </c>
      <c r="G124" s="9">
        <f>G7+G86</f>
        <v>3069924438.06</v>
      </c>
      <c r="H124" s="34">
        <f>D124/C124</f>
        <v>1.2569416195899887</v>
      </c>
      <c r="I124" s="34">
        <f>E124/D124</f>
        <v>1.008534136877523</v>
      </c>
      <c r="J124" s="34">
        <f>F124/E124</f>
        <v>0.886857630529863</v>
      </c>
      <c r="K124" s="34">
        <f>G124/F124</f>
        <v>0.9716846621935605</v>
      </c>
    </row>
    <row r="127" spans="1:2" ht="12.75">
      <c r="A127" s="51"/>
      <c r="B127" s="51"/>
    </row>
  </sheetData>
  <sheetProtection/>
  <mergeCells count="2">
    <mergeCell ref="A124:B124"/>
    <mergeCell ref="A3:K3"/>
  </mergeCells>
  <printOptions horizontalCentered="1"/>
  <pageMargins left="0.7480314960629921" right="0.15748031496062992" top="0.15748031496062992" bottom="0.2362204724409449" header="0.1968503937007874" footer="0.15748031496062992"/>
  <pageSetup fitToHeight="20" fitToWidth="1" horizontalDpi="600" verticalDpi="600" orientation="portrait" paperSize="9" r:id="rId1"/>
  <rowBreaks count="4" manualBreakCount="4">
    <brk id="16" max="255" man="1"/>
    <brk id="28" max="255" man="1"/>
    <brk id="38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2016-11-21T08:34:12Z</cp:lastPrinted>
  <dcterms:created xsi:type="dcterms:W3CDTF">2003-08-14T15:25:08Z</dcterms:created>
  <dcterms:modified xsi:type="dcterms:W3CDTF">2021-11-12T13:54:51Z</dcterms:modified>
  <cp:category/>
  <cp:version/>
  <cp:contentType/>
  <cp:contentStatus/>
</cp:coreProperties>
</file>